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0os2cfi008\103480$\TC\Users\103480jaor\Documents\målekontor\"/>
    </mc:Choice>
  </mc:AlternateContent>
  <xr:revisionPtr revIDLastSave="0" documentId="10_ncr:100000_{24E8C741-4FD9-4533-BD9E-E2261762FAFB}" xr6:coauthVersionLast="31" xr6:coauthVersionMax="31" xr10:uidLastSave="{00000000-0000-0000-0000-000000000000}"/>
  <bookViews>
    <workbookView xWindow="2730" yWindow="1545" windowWidth="12630" windowHeight="6630" tabRatio="876" activeTab="1" xr2:uid="{00000000-000D-0000-FFFF-FFFF00000000}"/>
  </bookViews>
  <sheets>
    <sheet name="FORS" sheetId="1" r:id="rId1"/>
    <sheet name="ÅRSTOT" sheetId="2" r:id="rId2"/>
    <sheet name="BETONG" sheetId="3" r:id="rId3"/>
    <sheet name="TØMRERE" sheetId="4" r:id="rId4"/>
    <sheet name="MALERE" sheetId="5" r:id="rId5"/>
    <sheet name="RØRLEGGERE" sheetId="6" r:id="rId6"/>
    <sheet name="TAKTEKKERE" sheetId="8" r:id="rId7"/>
    <sheet name="MURERE" sheetId="10" r:id="rId8"/>
    <sheet name="BLIKK OG VENTILASJON" sheetId="7" r:id="rId9"/>
    <sheet name="ISOLATØR" sheetId="11" r:id="rId10"/>
  </sheets>
  <calcPr calcId="179017"/>
</workbook>
</file>

<file path=xl/calcChain.xml><?xml version="1.0" encoding="utf-8"?>
<calcChain xmlns="http://schemas.openxmlformats.org/spreadsheetml/2006/main">
  <c r="B44" i="2" l="1"/>
  <c r="B45" i="2" s="1"/>
  <c r="B21" i="2"/>
  <c r="C68" i="2"/>
  <c r="B41" i="2"/>
  <c r="B18" i="2"/>
  <c r="B68" i="3"/>
  <c r="B38" i="2"/>
  <c r="B31" i="2"/>
  <c r="B15" i="2"/>
  <c r="B14" i="2"/>
  <c r="B60" i="2" s="1"/>
  <c r="B12" i="2"/>
  <c r="B58" i="2" s="1"/>
  <c r="B11" i="2"/>
  <c r="B57" i="2" s="1"/>
  <c r="P21" i="3"/>
  <c r="B30" i="2"/>
  <c r="B53" i="2" s="1"/>
  <c r="B22" i="3"/>
  <c r="B45" i="3"/>
  <c r="B37" i="8"/>
  <c r="B18" i="8"/>
  <c r="B19" i="2"/>
  <c r="B65" i="2" s="1"/>
  <c r="B20" i="2"/>
  <c r="B62" i="2"/>
  <c r="B48" i="8"/>
  <c r="B45" i="8"/>
  <c r="B56" i="8"/>
  <c r="B66" i="2"/>
  <c r="B37" i="2"/>
  <c r="B67" i="2" l="1"/>
  <c r="B68" i="2" s="1"/>
  <c r="P43" i="2"/>
  <c r="B64" i="2"/>
  <c r="B61" i="2"/>
  <c r="B8" i="2"/>
  <c r="B7" i="2"/>
  <c r="C57" i="4" l="1"/>
  <c r="B57" i="4"/>
  <c r="L15" i="10" l="1"/>
  <c r="L18" i="10"/>
  <c r="L17" i="10"/>
  <c r="L35" i="10"/>
  <c r="J39" i="10" l="1"/>
  <c r="B55" i="10"/>
  <c r="I55" i="10"/>
  <c r="L55" i="10" l="1"/>
  <c r="I59" i="10"/>
  <c r="L53" i="10"/>
  <c r="L54" i="10"/>
  <c r="D39" i="10"/>
  <c r="B39" i="10"/>
  <c r="E67" i="3"/>
  <c r="C67" i="3"/>
  <c r="L34" i="8" l="1"/>
  <c r="L29" i="8"/>
  <c r="E40" i="6"/>
  <c r="D40" i="6"/>
  <c r="C40" i="6"/>
  <c r="C39" i="6"/>
  <c r="B39" i="6"/>
  <c r="B40" i="6"/>
  <c r="F26" i="6"/>
  <c r="H26" i="6"/>
  <c r="G26" i="6"/>
  <c r="G25" i="6"/>
  <c r="B56" i="4" l="1"/>
  <c r="H55" i="4"/>
  <c r="H54" i="4"/>
  <c r="E59" i="4" l="1"/>
  <c r="C59" i="4"/>
  <c r="D59" i="4"/>
  <c r="B59" i="4"/>
  <c r="B53" i="4"/>
  <c r="H59" i="4" l="1"/>
  <c r="L32" i="4"/>
  <c r="L35" i="4"/>
  <c r="L36" i="4"/>
  <c r="B43" i="2" l="1"/>
  <c r="E43" i="2"/>
  <c r="D43" i="2"/>
  <c r="C43" i="2"/>
  <c r="L36" i="5"/>
  <c r="L37" i="10"/>
  <c r="E32" i="8"/>
  <c r="D32" i="8"/>
  <c r="C32" i="8"/>
  <c r="B32" i="8"/>
  <c r="L32" i="8" s="1"/>
  <c r="C44" i="2" l="1"/>
  <c r="E41" i="2" l="1"/>
  <c r="D41" i="2"/>
  <c r="C41" i="2"/>
  <c r="G41" i="2" l="1"/>
  <c r="F41" i="2"/>
  <c r="B39" i="2"/>
  <c r="D39" i="2"/>
  <c r="F39" i="2" s="1"/>
  <c r="E39" i="6"/>
  <c r="D39" i="6"/>
  <c r="F59" i="4"/>
  <c r="G51" i="4"/>
  <c r="G52" i="4"/>
  <c r="G54" i="4"/>
  <c r="G55" i="4"/>
  <c r="G58" i="4"/>
  <c r="G59" i="4"/>
  <c r="F51" i="4"/>
  <c r="F52" i="4"/>
  <c r="F54" i="4"/>
  <c r="F55" i="4"/>
  <c r="F58" i="4"/>
  <c r="H29" i="4"/>
  <c r="H30" i="4"/>
  <c r="H31" i="4"/>
  <c r="H32" i="4"/>
  <c r="H33" i="4"/>
  <c r="H34" i="4"/>
  <c r="H35" i="4"/>
  <c r="H36" i="4"/>
  <c r="M36" i="4" s="1"/>
  <c r="H37" i="4"/>
  <c r="H38" i="4"/>
  <c r="G29" i="4"/>
  <c r="G30" i="4"/>
  <c r="G31" i="4"/>
  <c r="G32" i="4"/>
  <c r="G33" i="4"/>
  <c r="G34" i="4"/>
  <c r="G35" i="4"/>
  <c r="G36" i="4"/>
  <c r="G37" i="4"/>
  <c r="G38" i="4"/>
  <c r="G39" i="4"/>
  <c r="G40" i="4"/>
  <c r="C56" i="4"/>
  <c r="C39" i="2" s="1"/>
  <c r="F36" i="4"/>
  <c r="D58" i="10" l="1"/>
  <c r="B58" i="10"/>
  <c r="L58" i="10" s="1"/>
  <c r="E57" i="10"/>
  <c r="D57" i="10"/>
  <c r="C57" i="10"/>
  <c r="B57" i="10"/>
  <c r="L32" i="10"/>
  <c r="L38" i="10"/>
  <c r="H37" i="10"/>
  <c r="H38" i="10"/>
  <c r="F37" i="10"/>
  <c r="F38" i="10"/>
  <c r="F35" i="4" l="1"/>
  <c r="F53" i="3" l="1"/>
  <c r="C27" i="6"/>
  <c r="H25" i="6"/>
  <c r="F25" i="6"/>
  <c r="B27" i="6"/>
  <c r="J67" i="3" l="1"/>
  <c r="D65" i="3" l="1"/>
  <c r="H12" i="6" l="1"/>
  <c r="I19" i="10" l="1"/>
  <c r="I22" i="3" l="1"/>
  <c r="F54" i="8"/>
  <c r="F55" i="8"/>
  <c r="E46" i="8"/>
  <c r="E47" i="8"/>
  <c r="E48" i="8"/>
  <c r="E49" i="8"/>
  <c r="E50" i="8"/>
  <c r="E51" i="8"/>
  <c r="E52" i="8"/>
  <c r="E53" i="8"/>
  <c r="E54" i="8"/>
  <c r="H54" i="8" s="1"/>
  <c r="E55" i="8"/>
  <c r="E45" i="8"/>
  <c r="D46" i="8"/>
  <c r="D47" i="8"/>
  <c r="D48" i="8"/>
  <c r="D49" i="8"/>
  <c r="D50" i="8"/>
  <c r="D51" i="8"/>
  <c r="D52" i="8"/>
  <c r="D53" i="8"/>
  <c r="D54" i="8"/>
  <c r="D55" i="8"/>
  <c r="D45" i="8"/>
  <c r="C47" i="8"/>
  <c r="C48" i="8"/>
  <c r="C49" i="8"/>
  <c r="C50" i="8"/>
  <c r="C51" i="8"/>
  <c r="C52" i="8"/>
  <c r="C53" i="8"/>
  <c r="C54" i="8"/>
  <c r="C55" i="8"/>
  <c r="C45" i="8"/>
  <c r="B46" i="8"/>
  <c r="B47" i="8"/>
  <c r="B49" i="8"/>
  <c r="B50" i="8"/>
  <c r="B51" i="8"/>
  <c r="B52" i="8"/>
  <c r="L52" i="8" s="1"/>
  <c r="B53" i="8"/>
  <c r="B54" i="8"/>
  <c r="B55" i="8"/>
  <c r="L55" i="8" s="1"/>
  <c r="D13" i="8"/>
  <c r="B13" i="8"/>
  <c r="G55" i="8" l="1"/>
  <c r="G54" i="8"/>
  <c r="H55" i="8"/>
  <c r="F53" i="8"/>
  <c r="E21" i="2"/>
  <c r="D20" i="2"/>
  <c r="C20" i="2"/>
  <c r="E19" i="2"/>
  <c r="D19" i="2"/>
  <c r="C19" i="2"/>
  <c r="H19" i="3"/>
  <c r="F19" i="3"/>
  <c r="H16" i="4"/>
  <c r="H17" i="4"/>
  <c r="M17" i="4" s="1"/>
  <c r="G16" i="4"/>
  <c r="G17" i="4"/>
  <c r="F16" i="4"/>
  <c r="F17" i="4"/>
  <c r="F15" i="4"/>
  <c r="M16" i="4" l="1"/>
  <c r="L16" i="8"/>
  <c r="L17" i="8"/>
  <c r="L15" i="8"/>
  <c r="L7" i="8"/>
  <c r="L21" i="3" l="1"/>
  <c r="I53" i="4"/>
  <c r="I52" i="4" l="1"/>
  <c r="C56" i="8"/>
  <c r="H17" i="8"/>
  <c r="G17" i="8"/>
  <c r="F17" i="8"/>
  <c r="F16" i="8"/>
  <c r="B13" i="6"/>
  <c r="I20" i="4"/>
  <c r="I67" i="3" l="1"/>
  <c r="J53" i="3"/>
  <c r="I53" i="3"/>
  <c r="I50" i="4"/>
  <c r="I18" i="8"/>
  <c r="D18" i="5" l="1"/>
  <c r="J27" i="6"/>
  <c r="I27" i="6"/>
  <c r="J41" i="4"/>
  <c r="L11" i="4"/>
  <c r="G29" i="5" l="1"/>
  <c r="H16" i="5"/>
  <c r="H15" i="5"/>
  <c r="H11" i="5"/>
  <c r="H12" i="5"/>
  <c r="H13" i="5"/>
  <c r="G15" i="5"/>
  <c r="F16" i="5"/>
  <c r="F15" i="5"/>
  <c r="G16" i="5"/>
  <c r="H9" i="5"/>
  <c r="H10" i="5"/>
  <c r="H8" i="5"/>
  <c r="D61" i="4" l="1"/>
  <c r="B61" i="4"/>
  <c r="F61" i="4" l="1"/>
  <c r="H61" i="4"/>
  <c r="M61" i="4" s="1"/>
  <c r="D55" i="5" l="1"/>
  <c r="B55" i="5"/>
  <c r="D67" i="3"/>
  <c r="B67" i="3"/>
  <c r="B65" i="3"/>
  <c r="F36" i="8"/>
  <c r="F55" i="5" l="1"/>
  <c r="E36" i="6"/>
  <c r="D36" i="6"/>
  <c r="C36" i="6"/>
  <c r="B36" i="6"/>
  <c r="C42" i="2" l="1"/>
  <c r="D42" i="2"/>
  <c r="E57" i="4"/>
  <c r="D57" i="4"/>
  <c r="D66" i="3"/>
  <c r="F38" i="4"/>
  <c r="B42" i="2"/>
  <c r="E18" i="8"/>
  <c r="F13" i="8"/>
  <c r="D57" i="3"/>
  <c r="B57" i="3"/>
  <c r="F57" i="4" l="1"/>
  <c r="H57" i="4"/>
  <c r="G57" i="4"/>
  <c r="F42" i="2"/>
  <c r="E66" i="3"/>
  <c r="C66" i="3"/>
  <c r="B66" i="3"/>
  <c r="H43" i="3"/>
  <c r="M43" i="3" s="1"/>
  <c r="G43" i="3"/>
  <c r="F43" i="3"/>
  <c r="L42" i="3"/>
  <c r="L43" i="3"/>
  <c r="E60" i="4"/>
  <c r="C60" i="4"/>
  <c r="D60" i="4"/>
  <c r="B60" i="4"/>
  <c r="E48" i="5"/>
  <c r="D48" i="5"/>
  <c r="C48" i="5"/>
  <c r="B48" i="5"/>
  <c r="E53" i="4"/>
  <c r="D53" i="4"/>
  <c r="F53" i="4" s="1"/>
  <c r="C53" i="4"/>
  <c r="D58" i="3"/>
  <c r="B58" i="3"/>
  <c r="G61" i="4"/>
  <c r="F65" i="3"/>
  <c r="H42" i="3"/>
  <c r="F42" i="3"/>
  <c r="G53" i="4" l="1"/>
  <c r="G60" i="4"/>
  <c r="F60" i="4"/>
  <c r="H60" i="4"/>
  <c r="G66" i="3"/>
  <c r="F66" i="3"/>
  <c r="H66" i="3"/>
  <c r="H65" i="3"/>
  <c r="D51" i="5"/>
  <c r="B51" i="5"/>
  <c r="E56" i="4"/>
  <c r="G56" i="4" s="1"/>
  <c r="D56" i="4"/>
  <c r="D50" i="4"/>
  <c r="B50" i="4"/>
  <c r="E49" i="4"/>
  <c r="D49" i="4"/>
  <c r="C49" i="4"/>
  <c r="B49" i="4"/>
  <c r="D54" i="3"/>
  <c r="B54" i="3"/>
  <c r="D46" i="5"/>
  <c r="B46" i="5"/>
  <c r="E53" i="5"/>
  <c r="D53" i="5"/>
  <c r="C53" i="5"/>
  <c r="B53" i="5"/>
  <c r="F56" i="4" l="1"/>
  <c r="H56" i="4"/>
  <c r="M56" i="4" s="1"/>
  <c r="M57" i="4"/>
  <c r="F49" i="4"/>
  <c r="D30" i="2" l="1"/>
  <c r="C30" i="2"/>
  <c r="L30" i="3"/>
  <c r="L31" i="3"/>
  <c r="E53" i="3"/>
  <c r="D53" i="3"/>
  <c r="C53" i="3"/>
  <c r="C68" i="3" s="1"/>
  <c r="B53" i="3"/>
  <c r="H30" i="3"/>
  <c r="H37" i="3"/>
  <c r="F30" i="3"/>
  <c r="F34" i="3"/>
  <c r="D62" i="3"/>
  <c r="B62" i="3"/>
  <c r="B60" i="3"/>
  <c r="D60" i="3"/>
  <c r="D64" i="3"/>
  <c r="B64" i="3"/>
  <c r="E68" i="3" l="1"/>
  <c r="H53" i="3"/>
  <c r="H60" i="3"/>
  <c r="D68" i="3"/>
  <c r="F60" i="3"/>
  <c r="D54" i="5"/>
  <c r="B54" i="5"/>
  <c r="E18" i="5" l="1"/>
  <c r="B18" i="5"/>
  <c r="F18" i="5" s="1"/>
  <c r="C12" i="2" l="1"/>
  <c r="L16" i="4" l="1"/>
  <c r="L17" i="4"/>
  <c r="L18" i="4"/>
  <c r="L19" i="4"/>
  <c r="M9" i="5"/>
  <c r="M10" i="5"/>
  <c r="M11" i="5"/>
  <c r="M12" i="5"/>
  <c r="M13" i="5"/>
  <c r="F13" i="5"/>
  <c r="G11" i="5"/>
  <c r="G12" i="5"/>
  <c r="G13" i="5"/>
  <c r="H7" i="5"/>
  <c r="G10" i="5"/>
  <c r="F10" i="5"/>
  <c r="L15" i="4"/>
  <c r="E18" i="2" l="1"/>
  <c r="D18" i="2"/>
  <c r="C18" i="2"/>
  <c r="F20" i="2"/>
  <c r="H18" i="4"/>
  <c r="M18" i="4" s="1"/>
  <c r="H19" i="4"/>
  <c r="M19" i="4" s="1"/>
  <c r="G18" i="4"/>
  <c r="G19" i="4"/>
  <c r="F18" i="4"/>
  <c r="F19" i="4"/>
  <c r="L14" i="3" l="1"/>
  <c r="L13" i="3"/>
  <c r="H14" i="3"/>
  <c r="F13" i="3"/>
  <c r="G61" i="3"/>
  <c r="J68" i="2" l="1"/>
  <c r="I68" i="2"/>
  <c r="J45" i="2"/>
  <c r="I45" i="2"/>
  <c r="I22" i="2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I54" i="3"/>
  <c r="I55" i="3"/>
  <c r="I56" i="3"/>
  <c r="I57" i="3"/>
  <c r="I58" i="3"/>
  <c r="I59" i="3"/>
  <c r="L59" i="3" s="1"/>
  <c r="I60" i="3"/>
  <c r="L60" i="3" s="1"/>
  <c r="I61" i="3"/>
  <c r="I62" i="3"/>
  <c r="I63" i="3"/>
  <c r="I64" i="3"/>
  <c r="I65" i="3"/>
  <c r="I66" i="3"/>
  <c r="I45" i="3"/>
  <c r="I68" i="3" s="1"/>
  <c r="J22" i="3"/>
  <c r="J68" i="3" s="1"/>
  <c r="J50" i="4"/>
  <c r="J51" i="4"/>
  <c r="J52" i="4"/>
  <c r="J53" i="4"/>
  <c r="J54" i="4"/>
  <c r="J55" i="4"/>
  <c r="J56" i="4"/>
  <c r="J57" i="4"/>
  <c r="J58" i="4"/>
  <c r="J59" i="4"/>
  <c r="J60" i="4"/>
  <c r="J61" i="4"/>
  <c r="I51" i="4"/>
  <c r="I54" i="4"/>
  <c r="I55" i="4"/>
  <c r="I56" i="4"/>
  <c r="I57" i="4"/>
  <c r="I58" i="4"/>
  <c r="I59" i="4"/>
  <c r="I60" i="4"/>
  <c r="I61" i="4"/>
  <c r="J49" i="4"/>
  <c r="I49" i="4"/>
  <c r="I41" i="4"/>
  <c r="I62" i="4" s="1"/>
  <c r="J20" i="4"/>
  <c r="J46" i="5"/>
  <c r="J47" i="5"/>
  <c r="J48" i="5"/>
  <c r="J49" i="5"/>
  <c r="J50" i="5"/>
  <c r="J51" i="5"/>
  <c r="J52" i="5"/>
  <c r="J53" i="5"/>
  <c r="J54" i="5"/>
  <c r="J55" i="5"/>
  <c r="I46" i="5"/>
  <c r="I47" i="5"/>
  <c r="I48" i="5"/>
  <c r="I49" i="5"/>
  <c r="I50" i="5"/>
  <c r="I51" i="5"/>
  <c r="I52" i="5"/>
  <c r="I53" i="5"/>
  <c r="I54" i="5"/>
  <c r="I55" i="5"/>
  <c r="J45" i="5"/>
  <c r="I45" i="5"/>
  <c r="J37" i="5"/>
  <c r="I37" i="5"/>
  <c r="J18" i="5"/>
  <c r="I18" i="5"/>
  <c r="J36" i="6"/>
  <c r="J37" i="6"/>
  <c r="J38" i="6"/>
  <c r="J39" i="6"/>
  <c r="J40" i="6"/>
  <c r="J41" i="6"/>
  <c r="I36" i="6"/>
  <c r="I37" i="6"/>
  <c r="I38" i="6"/>
  <c r="I39" i="6"/>
  <c r="I40" i="6"/>
  <c r="I41" i="6"/>
  <c r="J35" i="6"/>
  <c r="I35" i="6"/>
  <c r="I13" i="6"/>
  <c r="J46" i="8"/>
  <c r="J47" i="8"/>
  <c r="J49" i="8"/>
  <c r="J50" i="8"/>
  <c r="J52" i="8"/>
  <c r="J54" i="8"/>
  <c r="I46" i="8"/>
  <c r="I47" i="8"/>
  <c r="I50" i="8"/>
  <c r="J37" i="8"/>
  <c r="I37" i="8"/>
  <c r="J18" i="8"/>
  <c r="J56" i="8" l="1"/>
  <c r="I56" i="8"/>
  <c r="J56" i="5"/>
  <c r="I56" i="5"/>
  <c r="J62" i="4"/>
  <c r="I39" i="10"/>
  <c r="J19" i="10"/>
  <c r="F12" i="10"/>
  <c r="H10" i="10"/>
  <c r="L8" i="11" l="1"/>
  <c r="M8" i="11"/>
  <c r="M9" i="11"/>
  <c r="M7" i="11"/>
  <c r="L7" i="11"/>
  <c r="M56" i="10"/>
  <c r="L56" i="10"/>
  <c r="M54" i="10"/>
  <c r="M53" i="10"/>
  <c r="M51" i="10"/>
  <c r="L51" i="10"/>
  <c r="M49" i="10"/>
  <c r="L49" i="10"/>
  <c r="M47" i="10"/>
  <c r="L47" i="10"/>
  <c r="L39" i="10"/>
  <c r="M36" i="10"/>
  <c r="L36" i="10"/>
  <c r="M34" i="10"/>
  <c r="L34" i="10"/>
  <c r="M33" i="10"/>
  <c r="L33" i="10"/>
  <c r="M31" i="10"/>
  <c r="L31" i="10"/>
  <c r="M30" i="10"/>
  <c r="L30" i="10"/>
  <c r="M29" i="10"/>
  <c r="L29" i="10"/>
  <c r="M28" i="10"/>
  <c r="L28" i="10"/>
  <c r="M27" i="10"/>
  <c r="L27" i="10"/>
  <c r="M16" i="10"/>
  <c r="L16" i="10"/>
  <c r="M14" i="10"/>
  <c r="L14" i="10"/>
  <c r="M13" i="10"/>
  <c r="L13" i="10"/>
  <c r="L12" i="10"/>
  <c r="M11" i="10"/>
  <c r="L11" i="10"/>
  <c r="L10" i="10"/>
  <c r="M9" i="10"/>
  <c r="L9" i="10"/>
  <c r="L8" i="10"/>
  <c r="M7" i="10"/>
  <c r="L7" i="10"/>
  <c r="L54" i="8"/>
  <c r="L53" i="8"/>
  <c r="L51" i="8"/>
  <c r="L50" i="8"/>
  <c r="L49" i="8"/>
  <c r="L48" i="8"/>
  <c r="M47" i="8"/>
  <c r="L47" i="8"/>
  <c r="M46" i="8"/>
  <c r="L46" i="8"/>
  <c r="L45" i="8"/>
  <c r="L36" i="8"/>
  <c r="L35" i="8"/>
  <c r="L33" i="8"/>
  <c r="M31" i="8"/>
  <c r="L31" i="8"/>
  <c r="L30" i="8"/>
  <c r="M28" i="8"/>
  <c r="L28" i="8"/>
  <c r="M27" i="8"/>
  <c r="L27" i="8"/>
  <c r="L26" i="8"/>
  <c r="L11" i="8"/>
  <c r="L12" i="8"/>
  <c r="L13" i="8"/>
  <c r="L14" i="8"/>
  <c r="L10" i="8"/>
  <c r="M9" i="8"/>
  <c r="L9" i="8"/>
  <c r="M8" i="8"/>
  <c r="L8" i="8"/>
  <c r="M32" i="7"/>
  <c r="L32" i="7"/>
  <c r="M31" i="7"/>
  <c r="L31" i="7"/>
  <c r="M30" i="7"/>
  <c r="L30" i="7"/>
  <c r="M29" i="7"/>
  <c r="L29" i="7"/>
  <c r="M21" i="7"/>
  <c r="L21" i="7"/>
  <c r="M20" i="7"/>
  <c r="L20" i="7"/>
  <c r="M19" i="7"/>
  <c r="L19" i="7"/>
  <c r="M18" i="7"/>
  <c r="L18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L40" i="6"/>
  <c r="L39" i="6"/>
  <c r="M38" i="6"/>
  <c r="L38" i="6"/>
  <c r="M37" i="6"/>
  <c r="L37" i="6"/>
  <c r="L36" i="6"/>
  <c r="L35" i="6"/>
  <c r="L26" i="6"/>
  <c r="L25" i="6"/>
  <c r="M24" i="6"/>
  <c r="L24" i="6"/>
  <c r="M23" i="6"/>
  <c r="L23" i="6"/>
  <c r="L22" i="6"/>
  <c r="L21" i="6"/>
  <c r="L8" i="6"/>
  <c r="L9" i="6"/>
  <c r="M9" i="6"/>
  <c r="L10" i="6"/>
  <c r="M10" i="6"/>
  <c r="L11" i="6"/>
  <c r="L12" i="6"/>
  <c r="M7" i="6"/>
  <c r="L7" i="6"/>
  <c r="L55" i="5"/>
  <c r="L54" i="5"/>
  <c r="L53" i="5"/>
  <c r="M52" i="5"/>
  <c r="L52" i="5"/>
  <c r="L51" i="5"/>
  <c r="M50" i="5"/>
  <c r="L50" i="5"/>
  <c r="M49" i="5"/>
  <c r="L49" i="5"/>
  <c r="L48" i="5"/>
  <c r="M47" i="5"/>
  <c r="L47" i="5"/>
  <c r="L46" i="5"/>
  <c r="M45" i="5"/>
  <c r="L45" i="5"/>
  <c r="L35" i="5"/>
  <c r="L34" i="5"/>
  <c r="M33" i="5"/>
  <c r="L33" i="5"/>
  <c r="L32" i="5"/>
  <c r="M31" i="5"/>
  <c r="L31" i="5"/>
  <c r="M30" i="5"/>
  <c r="L30" i="5"/>
  <c r="L29" i="5"/>
  <c r="M28" i="5"/>
  <c r="L28" i="5"/>
  <c r="L27" i="5"/>
  <c r="M26" i="5"/>
  <c r="L26" i="5"/>
  <c r="L8" i="5"/>
  <c r="L9" i="5"/>
  <c r="L10" i="5"/>
  <c r="L11" i="5"/>
  <c r="L12" i="5"/>
  <c r="L13" i="5"/>
  <c r="L14" i="5"/>
  <c r="M14" i="5"/>
  <c r="L15" i="5"/>
  <c r="L16" i="5"/>
  <c r="L17" i="5"/>
  <c r="M7" i="5"/>
  <c r="L7" i="5"/>
  <c r="L61" i="4"/>
  <c r="L60" i="4"/>
  <c r="L59" i="4"/>
  <c r="L58" i="4"/>
  <c r="L57" i="4"/>
  <c r="L56" i="4"/>
  <c r="L55" i="4"/>
  <c r="L53" i="4"/>
  <c r="L52" i="4"/>
  <c r="L51" i="4"/>
  <c r="L50" i="4"/>
  <c r="L49" i="4"/>
  <c r="L40" i="4"/>
  <c r="L39" i="4"/>
  <c r="L38" i="4"/>
  <c r="M37" i="4"/>
  <c r="L37" i="4"/>
  <c r="L34" i="4"/>
  <c r="L29" i="4"/>
  <c r="L28" i="4"/>
  <c r="M22" i="4"/>
  <c r="L22" i="4"/>
  <c r="M21" i="4"/>
  <c r="L21" i="4"/>
  <c r="L14" i="4"/>
  <c r="L13" i="4"/>
  <c r="L12" i="4"/>
  <c r="M9" i="4"/>
  <c r="L9" i="4"/>
  <c r="L8" i="4"/>
  <c r="L7" i="4"/>
  <c r="L67" i="3"/>
  <c r="L66" i="3"/>
  <c r="L65" i="3"/>
  <c r="L64" i="3"/>
  <c r="L63" i="3"/>
  <c r="L62" i="3"/>
  <c r="L61" i="3"/>
  <c r="M59" i="3"/>
  <c r="L58" i="3"/>
  <c r="L57" i="3"/>
  <c r="M56" i="3"/>
  <c r="L56" i="3"/>
  <c r="L55" i="3"/>
  <c r="L54" i="3"/>
  <c r="L53" i="3"/>
  <c r="L44" i="3"/>
  <c r="L41" i="3"/>
  <c r="L40" i="3"/>
  <c r="L39" i="3"/>
  <c r="M38" i="3"/>
  <c r="L38" i="3"/>
  <c r="L37" i="3"/>
  <c r="M36" i="3"/>
  <c r="L36" i="3"/>
  <c r="L35" i="3"/>
  <c r="L34" i="3"/>
  <c r="M33" i="3"/>
  <c r="L33" i="3"/>
  <c r="L32" i="3"/>
  <c r="L8" i="3"/>
  <c r="L9" i="3"/>
  <c r="L10" i="3"/>
  <c r="M10" i="3"/>
  <c r="L11" i="3"/>
  <c r="L12" i="3"/>
  <c r="M13" i="3"/>
  <c r="L15" i="3"/>
  <c r="L16" i="3"/>
  <c r="L18" i="3"/>
  <c r="L19" i="3"/>
  <c r="L20" i="3"/>
  <c r="L7" i="3"/>
  <c r="I24" i="10"/>
  <c r="F24" i="10"/>
  <c r="I23" i="8"/>
  <c r="F23" i="8"/>
  <c r="I15" i="7"/>
  <c r="F15" i="7"/>
  <c r="I18" i="6"/>
  <c r="F18" i="6"/>
  <c r="I23" i="5"/>
  <c r="F23" i="5"/>
  <c r="I25" i="4"/>
  <c r="F25" i="4"/>
  <c r="I27" i="3"/>
  <c r="F27" i="3"/>
  <c r="I44" i="10"/>
  <c r="F44" i="10"/>
  <c r="I42" i="8"/>
  <c r="F42" i="8"/>
  <c r="I26" i="7"/>
  <c r="F26" i="7"/>
  <c r="I32" i="6"/>
  <c r="F32" i="6"/>
  <c r="I42" i="5"/>
  <c r="F42" i="5"/>
  <c r="I50" i="2"/>
  <c r="F50" i="2"/>
  <c r="I50" i="3"/>
  <c r="F50" i="3"/>
  <c r="I46" i="4"/>
  <c r="F46" i="4"/>
  <c r="I27" i="2"/>
  <c r="F27" i="2"/>
  <c r="I4" i="11"/>
  <c r="F4" i="11"/>
  <c r="I4" i="10"/>
  <c r="F4" i="10"/>
  <c r="I4" i="8"/>
  <c r="F4" i="8"/>
  <c r="I4" i="7"/>
  <c r="F4" i="7"/>
  <c r="I4" i="6"/>
  <c r="F4" i="6"/>
  <c r="I4" i="5"/>
  <c r="F4" i="5"/>
  <c r="I4" i="4"/>
  <c r="F4" i="4"/>
  <c r="I4" i="2"/>
  <c r="F4" i="2"/>
  <c r="F4" i="3"/>
  <c r="I4" i="3" l="1"/>
  <c r="F30" i="8" l="1"/>
  <c r="H30" i="8"/>
  <c r="M30" i="8" s="1"/>
  <c r="G30" i="8"/>
  <c r="I9" i="11" l="1"/>
  <c r="L9" i="11" s="1"/>
  <c r="J9" i="11"/>
  <c r="E35" i="2"/>
  <c r="D35" i="2"/>
  <c r="C35" i="2"/>
  <c r="B35" i="2"/>
  <c r="L35" i="2" s="1"/>
  <c r="E31" i="2"/>
  <c r="D31" i="2"/>
  <c r="C31" i="2"/>
  <c r="L31" i="2"/>
  <c r="E30" i="2"/>
  <c r="L30" i="2"/>
  <c r="E12" i="2"/>
  <c r="D12" i="2"/>
  <c r="L12" i="2"/>
  <c r="E8" i="2"/>
  <c r="G8" i="2" s="1"/>
  <c r="D8" i="2"/>
  <c r="C8" i="2"/>
  <c r="J8" i="2" s="1"/>
  <c r="J22" i="2" s="1"/>
  <c r="L8" i="2"/>
  <c r="E7" i="2"/>
  <c r="D7" i="2"/>
  <c r="C7" i="2"/>
  <c r="L7" i="2"/>
  <c r="H27" i="10"/>
  <c r="C54" i="2" l="1"/>
  <c r="C58" i="2"/>
  <c r="B54" i="2"/>
  <c r="C53" i="2"/>
  <c r="E54" i="2"/>
  <c r="L58" i="2"/>
  <c r="D53" i="2"/>
  <c r="E53" i="2"/>
  <c r="D58" i="2"/>
  <c r="E58" i="2"/>
  <c r="F8" i="2"/>
  <c r="H8" i="2"/>
  <c r="M8" i="2" s="1"/>
  <c r="D54" i="2"/>
  <c r="L27" i="6"/>
  <c r="L54" i="2" l="1"/>
  <c r="L53" i="2"/>
  <c r="G50" i="4"/>
  <c r="F50" i="4" l="1"/>
  <c r="H52" i="4"/>
  <c r="M52" i="4" s="1"/>
  <c r="M55" i="4"/>
  <c r="B62" i="4"/>
  <c r="L62" i="4" s="1"/>
  <c r="H51" i="4"/>
  <c r="M51" i="4" s="1"/>
  <c r="H50" i="4"/>
  <c r="M50" i="4" s="1"/>
  <c r="M59" i="4"/>
  <c r="M58" i="4"/>
  <c r="H53" i="4"/>
  <c r="M53" i="4" s="1"/>
  <c r="M60" i="4"/>
  <c r="F34" i="8" l="1"/>
  <c r="G34" i="8"/>
  <c r="H34" i="8"/>
  <c r="M34" i="8" s="1"/>
  <c r="F35" i="8"/>
  <c r="G35" i="8"/>
  <c r="H35" i="8"/>
  <c r="M35" i="8" s="1"/>
  <c r="A40" i="8" l="1"/>
  <c r="A21" i="8"/>
  <c r="A2" i="8"/>
  <c r="A24" i="7"/>
  <c r="A13" i="7"/>
  <c r="A2" i="7"/>
  <c r="A2" i="3"/>
  <c r="L18" i="2" l="1"/>
  <c r="G18" i="2" l="1"/>
  <c r="F18" i="2"/>
  <c r="H18" i="2"/>
  <c r="M18" i="2" s="1"/>
  <c r="G15" i="4"/>
  <c r="H15" i="4"/>
  <c r="M15" i="4" s="1"/>
  <c r="G36" i="6" l="1"/>
  <c r="C48" i="10"/>
  <c r="D48" i="10"/>
  <c r="E48" i="10"/>
  <c r="G48" i="10" s="1"/>
  <c r="C49" i="10"/>
  <c r="D49" i="10"/>
  <c r="F49" i="10" s="1"/>
  <c r="E49" i="10"/>
  <c r="C50" i="10"/>
  <c r="D50" i="10"/>
  <c r="E50" i="10"/>
  <c r="C51" i="10"/>
  <c r="D51" i="10"/>
  <c r="E51" i="10"/>
  <c r="G51" i="10" s="1"/>
  <c r="C52" i="10"/>
  <c r="D52" i="10"/>
  <c r="E52" i="10"/>
  <c r="G52" i="10" s="1"/>
  <c r="C53" i="10"/>
  <c r="D53" i="10"/>
  <c r="F53" i="10" s="1"/>
  <c r="E53" i="10"/>
  <c r="G53" i="10" s="1"/>
  <c r="C54" i="10"/>
  <c r="D54" i="10"/>
  <c r="F54" i="10" s="1"/>
  <c r="E54" i="10"/>
  <c r="G54" i="10" s="1"/>
  <c r="C55" i="10"/>
  <c r="D55" i="10"/>
  <c r="E55" i="10"/>
  <c r="C56" i="10"/>
  <c r="D56" i="10"/>
  <c r="F56" i="10" s="1"/>
  <c r="E56" i="10"/>
  <c r="C58" i="10"/>
  <c r="E58" i="10"/>
  <c r="G58" i="10" s="1"/>
  <c r="C47" i="10"/>
  <c r="D47" i="10"/>
  <c r="E47" i="10"/>
  <c r="G47" i="10" s="1"/>
  <c r="B48" i="10"/>
  <c r="L48" i="10" s="1"/>
  <c r="B49" i="10"/>
  <c r="B50" i="10"/>
  <c r="L50" i="10" s="1"/>
  <c r="B51" i="10"/>
  <c r="B52" i="10"/>
  <c r="L52" i="10" s="1"/>
  <c r="B53" i="10"/>
  <c r="B54" i="10"/>
  <c r="B56" i="10"/>
  <c r="L57" i="10"/>
  <c r="B47" i="10"/>
  <c r="D44" i="2"/>
  <c r="B32" i="2"/>
  <c r="L32" i="2" s="1"/>
  <c r="C32" i="2"/>
  <c r="D32" i="2"/>
  <c r="E32" i="2"/>
  <c r="G32" i="2" s="1"/>
  <c r="B33" i="2"/>
  <c r="L33" i="2" s="1"/>
  <c r="C33" i="2"/>
  <c r="D33" i="2"/>
  <c r="E33" i="2"/>
  <c r="G33" i="2" s="1"/>
  <c r="B34" i="2"/>
  <c r="L34" i="2" s="1"/>
  <c r="C34" i="2"/>
  <c r="D34" i="2"/>
  <c r="E34" i="2"/>
  <c r="G34" i="2" s="1"/>
  <c r="B36" i="2"/>
  <c r="L36" i="2" s="1"/>
  <c r="C36" i="2"/>
  <c r="D36" i="2"/>
  <c r="E36" i="2"/>
  <c r="L37" i="2"/>
  <c r="C37" i="2"/>
  <c r="D37" i="2"/>
  <c r="E37" i="2"/>
  <c r="L38" i="2"/>
  <c r="C38" i="2"/>
  <c r="D38" i="2"/>
  <c r="E38" i="2"/>
  <c r="L39" i="2"/>
  <c r="E39" i="2"/>
  <c r="B40" i="2"/>
  <c r="L40" i="2" s="1"/>
  <c r="C40" i="2"/>
  <c r="D40" i="2"/>
  <c r="F40" i="2" s="1"/>
  <c r="E40" i="2"/>
  <c r="E42" i="2"/>
  <c r="E65" i="2" s="1"/>
  <c r="L43" i="2"/>
  <c r="E44" i="2"/>
  <c r="G44" i="2" s="1"/>
  <c r="G53" i="3"/>
  <c r="G55" i="3"/>
  <c r="G57" i="3"/>
  <c r="G60" i="3"/>
  <c r="G62" i="3"/>
  <c r="G63" i="3"/>
  <c r="G64" i="3"/>
  <c r="G65" i="3"/>
  <c r="G46" i="5"/>
  <c r="F27" i="10"/>
  <c r="F28" i="10"/>
  <c r="F29" i="10"/>
  <c r="F30" i="10"/>
  <c r="F31" i="10"/>
  <c r="F32" i="10"/>
  <c r="F33" i="10"/>
  <c r="F34" i="10"/>
  <c r="F35" i="10"/>
  <c r="F36" i="10"/>
  <c r="M30" i="3"/>
  <c r="H35" i="10"/>
  <c r="M35" i="10" s="1"/>
  <c r="M37" i="10"/>
  <c r="M38" i="10"/>
  <c r="G35" i="10"/>
  <c r="F47" i="5"/>
  <c r="G47" i="5"/>
  <c r="F48" i="5"/>
  <c r="G49" i="5"/>
  <c r="G50" i="5"/>
  <c r="G54" i="5"/>
  <c r="G55" i="5"/>
  <c r="H9" i="4"/>
  <c r="G46" i="8"/>
  <c r="G47" i="8"/>
  <c r="G35" i="6"/>
  <c r="G38" i="6"/>
  <c r="C10" i="2"/>
  <c r="D10" i="2"/>
  <c r="E10" i="2"/>
  <c r="B10" i="2"/>
  <c r="F12" i="8"/>
  <c r="G12" i="8"/>
  <c r="H12" i="8"/>
  <c r="M12" i="8" s="1"/>
  <c r="G16" i="8"/>
  <c r="H16" i="8"/>
  <c r="M16" i="8" s="1"/>
  <c r="D9" i="2"/>
  <c r="E9" i="2"/>
  <c r="B9" i="2"/>
  <c r="L9" i="2" s="1"/>
  <c r="C9" i="2"/>
  <c r="D11" i="2"/>
  <c r="E11" i="2"/>
  <c r="L11" i="2"/>
  <c r="C11" i="2"/>
  <c r="D13" i="2"/>
  <c r="B13" i="2"/>
  <c r="L13" i="2" s="1"/>
  <c r="C13" i="2"/>
  <c r="E13" i="2"/>
  <c r="D14" i="2"/>
  <c r="E14" i="2"/>
  <c r="L14" i="2"/>
  <c r="C14" i="2"/>
  <c r="D15" i="2"/>
  <c r="L15" i="2"/>
  <c r="C15" i="2"/>
  <c r="E15" i="2"/>
  <c r="D16" i="2"/>
  <c r="E16" i="2"/>
  <c r="B16" i="2"/>
  <c r="L16" i="2" s="1"/>
  <c r="C16" i="2"/>
  <c r="D17" i="2"/>
  <c r="B17" i="2"/>
  <c r="E17" i="2"/>
  <c r="C17" i="2"/>
  <c r="L19" i="2"/>
  <c r="L20" i="2"/>
  <c r="E20" i="2"/>
  <c r="L21" i="2"/>
  <c r="F7" i="8"/>
  <c r="G7" i="8"/>
  <c r="F8" i="8"/>
  <c r="G8" i="8"/>
  <c r="F9" i="8"/>
  <c r="G9" i="8"/>
  <c r="F10" i="8"/>
  <c r="G10" i="8"/>
  <c r="F11" i="8"/>
  <c r="G11" i="8"/>
  <c r="G13" i="8"/>
  <c r="F14" i="8"/>
  <c r="G14" i="8"/>
  <c r="F15" i="8"/>
  <c r="G15" i="8"/>
  <c r="F31" i="8"/>
  <c r="G31" i="8"/>
  <c r="H31" i="8"/>
  <c r="C9" i="11"/>
  <c r="D9" i="11"/>
  <c r="E9" i="11"/>
  <c r="B9" i="11"/>
  <c r="H8" i="11"/>
  <c r="H28" i="10"/>
  <c r="H32" i="10"/>
  <c r="M32" i="10" s="1"/>
  <c r="H34" i="10"/>
  <c r="H36" i="10"/>
  <c r="H7" i="10"/>
  <c r="H8" i="10"/>
  <c r="M8" i="10" s="1"/>
  <c r="M10" i="10"/>
  <c r="H18" i="10"/>
  <c r="M18" i="10" s="1"/>
  <c r="H11" i="8"/>
  <c r="M11" i="8" s="1"/>
  <c r="D31" i="7"/>
  <c r="F31" i="7" s="1"/>
  <c r="E31" i="7"/>
  <c r="B30" i="7"/>
  <c r="H44" i="3"/>
  <c r="M44" i="3" s="1"/>
  <c r="F46" i="8"/>
  <c r="G49" i="8"/>
  <c r="F27" i="8"/>
  <c r="G27" i="8"/>
  <c r="H27" i="8"/>
  <c r="F28" i="8"/>
  <c r="G28" i="8"/>
  <c r="H28" i="8"/>
  <c r="F29" i="8"/>
  <c r="G29" i="8"/>
  <c r="H29" i="8"/>
  <c r="M29" i="8" s="1"/>
  <c r="F32" i="8"/>
  <c r="G32" i="8"/>
  <c r="H32" i="8"/>
  <c r="M32" i="8" s="1"/>
  <c r="F33" i="8"/>
  <c r="G33" i="8"/>
  <c r="H33" i="8"/>
  <c r="M33" i="8" s="1"/>
  <c r="G36" i="8"/>
  <c r="H36" i="8"/>
  <c r="M36" i="8" s="1"/>
  <c r="H8" i="8"/>
  <c r="H9" i="8"/>
  <c r="H10" i="8"/>
  <c r="M10" i="8" s="1"/>
  <c r="H13" i="8"/>
  <c r="M13" i="8" s="1"/>
  <c r="H14" i="8"/>
  <c r="M14" i="8" s="1"/>
  <c r="H15" i="8"/>
  <c r="M15" i="8" s="1"/>
  <c r="M17" i="8"/>
  <c r="L37" i="8"/>
  <c r="L18" i="8"/>
  <c r="E37" i="8"/>
  <c r="E56" i="8" s="1"/>
  <c r="D37" i="8"/>
  <c r="C37" i="8"/>
  <c r="H26" i="8"/>
  <c r="M26" i="8" s="1"/>
  <c r="G26" i="8"/>
  <c r="F26" i="8"/>
  <c r="D18" i="8"/>
  <c r="C18" i="8"/>
  <c r="H7" i="8"/>
  <c r="M7" i="8" s="1"/>
  <c r="A48" i="3"/>
  <c r="A25" i="3"/>
  <c r="M19" i="3"/>
  <c r="G54" i="3"/>
  <c r="G67" i="3"/>
  <c r="E45" i="3"/>
  <c r="C45" i="3"/>
  <c r="D45" i="3"/>
  <c r="L45" i="3"/>
  <c r="C22" i="3"/>
  <c r="D22" i="3"/>
  <c r="E22" i="3"/>
  <c r="L22" i="3"/>
  <c r="G44" i="3"/>
  <c r="F44" i="3"/>
  <c r="G59" i="3"/>
  <c r="G30" i="3"/>
  <c r="G31" i="3"/>
  <c r="H31" i="3"/>
  <c r="M31" i="3" s="1"/>
  <c r="F32" i="3"/>
  <c r="G32" i="3"/>
  <c r="H32" i="3"/>
  <c r="M32" i="3" s="1"/>
  <c r="F33" i="3"/>
  <c r="G33" i="3"/>
  <c r="H33" i="3"/>
  <c r="G34" i="3"/>
  <c r="H34" i="3"/>
  <c r="M34" i="3" s="1"/>
  <c r="F35" i="3"/>
  <c r="G35" i="3"/>
  <c r="H35" i="3"/>
  <c r="M35" i="3" s="1"/>
  <c r="F36" i="3"/>
  <c r="G36" i="3"/>
  <c r="H36" i="3"/>
  <c r="F37" i="3"/>
  <c r="G37" i="3"/>
  <c r="M37" i="3"/>
  <c r="F38" i="3"/>
  <c r="G38" i="3"/>
  <c r="H38" i="3"/>
  <c r="F39" i="3"/>
  <c r="G39" i="3"/>
  <c r="H39" i="3"/>
  <c r="M39" i="3" s="1"/>
  <c r="F40" i="3"/>
  <c r="G40" i="3"/>
  <c r="H40" i="3"/>
  <c r="M40" i="3" s="1"/>
  <c r="F41" i="3"/>
  <c r="G41" i="3"/>
  <c r="H41" i="3"/>
  <c r="M41" i="3" s="1"/>
  <c r="G42" i="3"/>
  <c r="M42" i="3"/>
  <c r="F7" i="3"/>
  <c r="G7" i="3"/>
  <c r="H7" i="3"/>
  <c r="M7" i="3" s="1"/>
  <c r="F8" i="3"/>
  <c r="G8" i="3"/>
  <c r="H8" i="3"/>
  <c r="M8" i="3" s="1"/>
  <c r="F9" i="3"/>
  <c r="G9" i="3"/>
  <c r="H9" i="3"/>
  <c r="M9" i="3" s="1"/>
  <c r="F10" i="3"/>
  <c r="G10" i="3"/>
  <c r="H10" i="3"/>
  <c r="F11" i="3"/>
  <c r="G11" i="3"/>
  <c r="H11" i="3"/>
  <c r="M11" i="3" s="1"/>
  <c r="F12" i="3"/>
  <c r="G12" i="3"/>
  <c r="H12" i="3"/>
  <c r="M12" i="3" s="1"/>
  <c r="G13" i="3"/>
  <c r="H13" i="3"/>
  <c r="G14" i="3"/>
  <c r="M14" i="3"/>
  <c r="F15" i="3"/>
  <c r="G15" i="3"/>
  <c r="H15" i="3"/>
  <c r="M15" i="3" s="1"/>
  <c r="F16" i="3"/>
  <c r="G16" i="3"/>
  <c r="H16" i="3"/>
  <c r="M16" i="3" s="1"/>
  <c r="F17" i="3"/>
  <c r="G17" i="3"/>
  <c r="H17" i="3"/>
  <c r="F18" i="3"/>
  <c r="G18" i="3"/>
  <c r="H18" i="3"/>
  <c r="M18" i="3" s="1"/>
  <c r="G19" i="3"/>
  <c r="F20" i="3"/>
  <c r="G20" i="3"/>
  <c r="H20" i="3"/>
  <c r="M20" i="3" s="1"/>
  <c r="F21" i="3"/>
  <c r="G21" i="3"/>
  <c r="H21" i="3"/>
  <c r="M21" i="3" s="1"/>
  <c r="D10" i="7"/>
  <c r="F10" i="7" s="1"/>
  <c r="E10" i="7"/>
  <c r="G10" i="7" s="1"/>
  <c r="B10" i="7"/>
  <c r="F18" i="7"/>
  <c r="F19" i="7"/>
  <c r="F20" i="7"/>
  <c r="D30" i="7"/>
  <c r="F30" i="7" s="1"/>
  <c r="E30" i="7"/>
  <c r="G30" i="7" s="1"/>
  <c r="C30" i="7"/>
  <c r="G31" i="7"/>
  <c r="G19" i="7"/>
  <c r="H19" i="7"/>
  <c r="G20" i="7"/>
  <c r="H20" i="7"/>
  <c r="G8" i="7"/>
  <c r="H8" i="7"/>
  <c r="G9" i="7"/>
  <c r="H9" i="7"/>
  <c r="B29" i="7"/>
  <c r="B31" i="7"/>
  <c r="B21" i="7"/>
  <c r="D29" i="7"/>
  <c r="E29" i="7"/>
  <c r="C31" i="7"/>
  <c r="C29" i="7"/>
  <c r="D21" i="7"/>
  <c r="F21" i="7" s="1"/>
  <c r="E21" i="7"/>
  <c r="C21" i="7"/>
  <c r="H18" i="7"/>
  <c r="G18" i="7"/>
  <c r="C10" i="7"/>
  <c r="H7" i="7"/>
  <c r="G7" i="7"/>
  <c r="F7" i="7"/>
  <c r="F8" i="11"/>
  <c r="G8" i="11"/>
  <c r="H7" i="11"/>
  <c r="G9" i="11"/>
  <c r="G7" i="11"/>
  <c r="F7" i="11"/>
  <c r="A2" i="11"/>
  <c r="A9" i="11"/>
  <c r="H28" i="5"/>
  <c r="G28" i="5"/>
  <c r="F28" i="5"/>
  <c r="G9" i="5"/>
  <c r="F9" i="5"/>
  <c r="C37" i="5"/>
  <c r="D37" i="5"/>
  <c r="E37" i="5"/>
  <c r="B37" i="5"/>
  <c r="L37" i="5" s="1"/>
  <c r="C18" i="5"/>
  <c r="L18" i="5"/>
  <c r="F50" i="5"/>
  <c r="F52" i="5"/>
  <c r="F27" i="5"/>
  <c r="G27" i="5"/>
  <c r="H27" i="5"/>
  <c r="M27" i="5" s="1"/>
  <c r="F29" i="5"/>
  <c r="H29" i="5"/>
  <c r="M29" i="5" s="1"/>
  <c r="F30" i="5"/>
  <c r="G30" i="5"/>
  <c r="H30" i="5"/>
  <c r="F31" i="5"/>
  <c r="G31" i="5"/>
  <c r="H31" i="5"/>
  <c r="F32" i="5"/>
  <c r="G32" i="5"/>
  <c r="H32" i="5"/>
  <c r="M32" i="5" s="1"/>
  <c r="F33" i="5"/>
  <c r="G33" i="5"/>
  <c r="H33" i="5"/>
  <c r="F34" i="5"/>
  <c r="G34" i="5"/>
  <c r="H34" i="5"/>
  <c r="M34" i="5" s="1"/>
  <c r="F35" i="5"/>
  <c r="G35" i="5"/>
  <c r="H35" i="5"/>
  <c r="M35" i="5" s="1"/>
  <c r="F36" i="5"/>
  <c r="G36" i="5"/>
  <c r="H36" i="5"/>
  <c r="M36" i="5" s="1"/>
  <c r="F8" i="5"/>
  <c r="G8" i="5"/>
  <c r="M8" i="5"/>
  <c r="F11" i="5"/>
  <c r="F12" i="5"/>
  <c r="F14" i="5"/>
  <c r="G14" i="5"/>
  <c r="H14" i="5"/>
  <c r="M15" i="5"/>
  <c r="F17" i="5"/>
  <c r="G17" i="5"/>
  <c r="H17" i="5"/>
  <c r="M17" i="5" s="1"/>
  <c r="H26" i="5"/>
  <c r="G26" i="5"/>
  <c r="F26" i="5"/>
  <c r="F45" i="5"/>
  <c r="F7" i="5"/>
  <c r="A40" i="5"/>
  <c r="A21" i="5"/>
  <c r="A2" i="5"/>
  <c r="H13" i="10"/>
  <c r="F13" i="10"/>
  <c r="H17" i="10"/>
  <c r="M17" i="10" s="1"/>
  <c r="C19" i="10"/>
  <c r="D19" i="10"/>
  <c r="E19" i="10"/>
  <c r="B19" i="10"/>
  <c r="L19" i="10" s="1"/>
  <c r="G38" i="10"/>
  <c r="G18" i="10"/>
  <c r="F18" i="10"/>
  <c r="F8" i="10"/>
  <c r="G49" i="10"/>
  <c r="G28" i="10"/>
  <c r="G29" i="10"/>
  <c r="H29" i="10"/>
  <c r="G30" i="10"/>
  <c r="H30" i="10"/>
  <c r="G31" i="10"/>
  <c r="H31" i="10"/>
  <c r="G32" i="10"/>
  <c r="G34" i="10"/>
  <c r="G36" i="10"/>
  <c r="G37" i="10"/>
  <c r="G8" i="10"/>
  <c r="F9" i="10"/>
  <c r="G9" i="10"/>
  <c r="H9" i="10"/>
  <c r="F10" i="10"/>
  <c r="G10" i="10"/>
  <c r="F11" i="10"/>
  <c r="G11" i="10"/>
  <c r="H11" i="10"/>
  <c r="G12" i="10"/>
  <c r="H12" i="10"/>
  <c r="M12" i="10" s="1"/>
  <c r="F14" i="10"/>
  <c r="G14" i="10"/>
  <c r="H14" i="10"/>
  <c r="F15" i="10"/>
  <c r="G15" i="10"/>
  <c r="H15" i="10"/>
  <c r="M15" i="10" s="1"/>
  <c r="F16" i="10"/>
  <c r="G16" i="10"/>
  <c r="H16" i="10"/>
  <c r="F17" i="10"/>
  <c r="G17" i="10"/>
  <c r="G27" i="10"/>
  <c r="G7" i="10"/>
  <c r="F7" i="10"/>
  <c r="A22" i="10"/>
  <c r="A2" i="10"/>
  <c r="A42" i="10"/>
  <c r="F36" i="6"/>
  <c r="G37" i="6"/>
  <c r="F38" i="6"/>
  <c r="G39" i="6"/>
  <c r="F22" i="6"/>
  <c r="G22" i="6"/>
  <c r="H22" i="6"/>
  <c r="M22" i="6" s="1"/>
  <c r="F23" i="6"/>
  <c r="G23" i="6"/>
  <c r="H23" i="6"/>
  <c r="F24" i="6"/>
  <c r="G24" i="6"/>
  <c r="H24" i="6"/>
  <c r="M25" i="6"/>
  <c r="M26" i="6"/>
  <c r="F8" i="6"/>
  <c r="G8" i="6"/>
  <c r="H8" i="6"/>
  <c r="M8" i="6" s="1"/>
  <c r="F9" i="6"/>
  <c r="G9" i="6"/>
  <c r="H9" i="6"/>
  <c r="F10" i="6"/>
  <c r="G10" i="6"/>
  <c r="H10" i="6"/>
  <c r="F11" i="6"/>
  <c r="G11" i="6"/>
  <c r="H11" i="6"/>
  <c r="M11" i="6" s="1"/>
  <c r="F12" i="6"/>
  <c r="G12" i="6"/>
  <c r="M12" i="6"/>
  <c r="E27" i="6"/>
  <c r="D27" i="6"/>
  <c r="G21" i="6"/>
  <c r="H21" i="6"/>
  <c r="M21" i="6" s="1"/>
  <c r="F21" i="6"/>
  <c r="L13" i="6"/>
  <c r="D13" i="6"/>
  <c r="C13" i="6"/>
  <c r="E13" i="6"/>
  <c r="H7" i="6"/>
  <c r="G7" i="6"/>
  <c r="F7" i="6"/>
  <c r="A2" i="6"/>
  <c r="A16" i="6"/>
  <c r="A30" i="6"/>
  <c r="M38" i="4"/>
  <c r="C41" i="4"/>
  <c r="D41" i="4"/>
  <c r="E41" i="4"/>
  <c r="B41" i="4"/>
  <c r="L41" i="4" s="1"/>
  <c r="C20" i="4"/>
  <c r="D20" i="4"/>
  <c r="E20" i="4"/>
  <c r="B20" i="4"/>
  <c r="L20" i="4" s="1"/>
  <c r="F28" i="4"/>
  <c r="G28" i="4"/>
  <c r="H28" i="4"/>
  <c r="M28" i="4" s="1"/>
  <c r="F29" i="4"/>
  <c r="M29" i="4"/>
  <c r="F30" i="4"/>
  <c r="M30" i="4"/>
  <c r="F31" i="4"/>
  <c r="M31" i="4"/>
  <c r="F32" i="4"/>
  <c r="M32" i="4"/>
  <c r="F33" i="4"/>
  <c r="M33" i="4"/>
  <c r="F34" i="4"/>
  <c r="M34" i="4"/>
  <c r="M35" i="4"/>
  <c r="F37" i="4"/>
  <c r="F39" i="4"/>
  <c r="H39" i="4"/>
  <c r="M39" i="4" s="1"/>
  <c r="F40" i="4"/>
  <c r="H40" i="4"/>
  <c r="M40" i="4" s="1"/>
  <c r="F7" i="4"/>
  <c r="G7" i="4"/>
  <c r="H7" i="4"/>
  <c r="M7" i="4" s="1"/>
  <c r="F8" i="4"/>
  <c r="G8" i="4"/>
  <c r="H8" i="4"/>
  <c r="M8" i="4" s="1"/>
  <c r="F9" i="4"/>
  <c r="G9" i="4"/>
  <c r="F10" i="4"/>
  <c r="G10" i="4"/>
  <c r="H10" i="4"/>
  <c r="F11" i="4"/>
  <c r="G11" i="4"/>
  <c r="H11" i="4"/>
  <c r="M11" i="4" s="1"/>
  <c r="F12" i="4"/>
  <c r="G12" i="4"/>
  <c r="H12" i="4"/>
  <c r="M12" i="4" s="1"/>
  <c r="F13" i="4"/>
  <c r="G13" i="4"/>
  <c r="H13" i="4"/>
  <c r="M13" i="4" s="1"/>
  <c r="F14" i="4"/>
  <c r="G14" i="4"/>
  <c r="H14" i="4"/>
  <c r="M14" i="4" s="1"/>
  <c r="A23" i="4"/>
  <c r="A2" i="4"/>
  <c r="A44" i="4"/>
  <c r="A48" i="2"/>
  <c r="A25" i="2"/>
  <c r="A2" i="2"/>
  <c r="F27" i="6" l="1"/>
  <c r="H27" i="6"/>
  <c r="D32" i="7"/>
  <c r="F32" i="7" s="1"/>
  <c r="F38" i="2"/>
  <c r="H44" i="2"/>
  <c r="M44" i="2" s="1"/>
  <c r="F44" i="2"/>
  <c r="G57" i="10"/>
  <c r="G37" i="5"/>
  <c r="L44" i="2"/>
  <c r="L41" i="2"/>
  <c r="L64" i="2"/>
  <c r="C21" i="2"/>
  <c r="G21" i="2" s="1"/>
  <c r="F57" i="10"/>
  <c r="H9" i="11"/>
  <c r="F50" i="10"/>
  <c r="F52" i="10"/>
  <c r="D57" i="2"/>
  <c r="C55" i="2"/>
  <c r="C57" i="2"/>
  <c r="E57" i="2"/>
  <c r="D55" i="2"/>
  <c r="F55" i="10"/>
  <c r="H57" i="10"/>
  <c r="M57" i="10" s="1"/>
  <c r="F58" i="10"/>
  <c r="H50" i="10"/>
  <c r="M50" i="10" s="1"/>
  <c r="H54" i="10"/>
  <c r="G9" i="2"/>
  <c r="E55" i="2"/>
  <c r="G55" i="2" s="1"/>
  <c r="G10" i="2"/>
  <c r="E56" i="2"/>
  <c r="G56" i="2" s="1"/>
  <c r="D56" i="2"/>
  <c r="C56" i="2"/>
  <c r="B55" i="2"/>
  <c r="L55" i="2" s="1"/>
  <c r="L57" i="2"/>
  <c r="B56" i="2"/>
  <c r="L56" i="2" s="1"/>
  <c r="H51" i="10"/>
  <c r="H53" i="10"/>
  <c r="H56" i="10"/>
  <c r="H49" i="5"/>
  <c r="F48" i="8"/>
  <c r="H46" i="8"/>
  <c r="G50" i="8"/>
  <c r="G48" i="8"/>
  <c r="G51" i="8"/>
  <c r="F39" i="6"/>
  <c r="F40" i="6"/>
  <c r="E56" i="5"/>
  <c r="F51" i="10"/>
  <c r="G56" i="10"/>
  <c r="H30" i="7"/>
  <c r="E32" i="7"/>
  <c r="G32" i="7" s="1"/>
  <c r="G29" i="7"/>
  <c r="B32" i="7"/>
  <c r="H36" i="6"/>
  <c r="M36" i="6" s="1"/>
  <c r="G40" i="6"/>
  <c r="H38" i="6"/>
  <c r="G45" i="5"/>
  <c r="F49" i="5"/>
  <c r="F58" i="3"/>
  <c r="C60" i="2"/>
  <c r="F9" i="11"/>
  <c r="G45" i="8"/>
  <c r="D41" i="6"/>
  <c r="M60" i="3"/>
  <c r="F35" i="6"/>
  <c r="C41" i="6"/>
  <c r="F52" i="8"/>
  <c r="F29" i="7"/>
  <c r="H10" i="7"/>
  <c r="F37" i="6"/>
  <c r="H37" i="6"/>
  <c r="H35" i="6"/>
  <c r="M35" i="6" s="1"/>
  <c r="G14" i="2"/>
  <c r="G27" i="6"/>
  <c r="F50" i="8"/>
  <c r="L56" i="8"/>
  <c r="L42" i="2"/>
  <c r="G53" i="8"/>
  <c r="F45" i="8"/>
  <c r="G48" i="5"/>
  <c r="C32" i="7"/>
  <c r="H31" i="7"/>
  <c r="B59" i="10"/>
  <c r="L59" i="10" s="1"/>
  <c r="G53" i="5"/>
  <c r="H29" i="7"/>
  <c r="G21" i="7"/>
  <c r="H50" i="8"/>
  <c r="M50" i="8" s="1"/>
  <c r="G19" i="10"/>
  <c r="G39" i="10"/>
  <c r="H55" i="10"/>
  <c r="M55" i="10" s="1"/>
  <c r="F63" i="3"/>
  <c r="G18" i="5"/>
  <c r="H40" i="6"/>
  <c r="M40" i="6" s="1"/>
  <c r="B41" i="6"/>
  <c r="L41" i="6" s="1"/>
  <c r="G13" i="2"/>
  <c r="F51" i="5"/>
  <c r="H49" i="10"/>
  <c r="G55" i="10"/>
  <c r="H45" i="8"/>
  <c r="M45" i="8" s="1"/>
  <c r="H47" i="8"/>
  <c r="H32" i="7"/>
  <c r="H39" i="6"/>
  <c r="M39" i="6" s="1"/>
  <c r="E41" i="6"/>
  <c r="H52" i="5"/>
  <c r="H51" i="5"/>
  <c r="M51" i="5" s="1"/>
  <c r="H45" i="5"/>
  <c r="C56" i="5"/>
  <c r="G52" i="5"/>
  <c r="H47" i="5"/>
  <c r="G51" i="5"/>
  <c r="H48" i="5"/>
  <c r="M48" i="5" s="1"/>
  <c r="H46" i="5"/>
  <c r="M46" i="5" s="1"/>
  <c r="M16" i="5"/>
  <c r="M27" i="6"/>
  <c r="F46" i="5"/>
  <c r="H49" i="8"/>
  <c r="M49" i="8" s="1"/>
  <c r="F55" i="3"/>
  <c r="D62" i="4"/>
  <c r="H53" i="5"/>
  <c r="M53" i="5" s="1"/>
  <c r="F53" i="5"/>
  <c r="H37" i="5"/>
  <c r="M37" i="5" s="1"/>
  <c r="H50" i="5"/>
  <c r="F37" i="5"/>
  <c r="H53" i="8"/>
  <c r="M53" i="8" s="1"/>
  <c r="F41" i="4"/>
  <c r="H51" i="8"/>
  <c r="M51" i="8" s="1"/>
  <c r="H39" i="10"/>
  <c r="M39" i="10" s="1"/>
  <c r="H21" i="7"/>
  <c r="G36" i="2"/>
  <c r="M55" i="8"/>
  <c r="F37" i="8"/>
  <c r="G41" i="4"/>
  <c r="G37" i="8"/>
  <c r="H49" i="4"/>
  <c r="M49" i="4" s="1"/>
  <c r="H37" i="8"/>
  <c r="M37" i="8" s="1"/>
  <c r="F45" i="3"/>
  <c r="H58" i="10"/>
  <c r="M58" i="10" s="1"/>
  <c r="E62" i="4"/>
  <c r="F49" i="8"/>
  <c r="G13" i="6"/>
  <c r="G22" i="3"/>
  <c r="H19" i="10"/>
  <c r="M19" i="10" s="1"/>
  <c r="F19" i="10"/>
  <c r="G20" i="4"/>
  <c r="C62" i="4"/>
  <c r="H47" i="10"/>
  <c r="H20" i="4"/>
  <c r="M20" i="4" s="1"/>
  <c r="G18" i="8"/>
  <c r="F20" i="4"/>
  <c r="H18" i="8"/>
  <c r="M18" i="8" s="1"/>
  <c r="F18" i="8"/>
  <c r="H52" i="8"/>
  <c r="M52" i="8" s="1"/>
  <c r="F62" i="3"/>
  <c r="H13" i="6"/>
  <c r="M13" i="6" s="1"/>
  <c r="E59" i="10"/>
  <c r="C59" i="10"/>
  <c r="F39" i="10"/>
  <c r="F47" i="10"/>
  <c r="F48" i="10"/>
  <c r="D59" i="10"/>
  <c r="H52" i="10"/>
  <c r="M52" i="10" s="1"/>
  <c r="H48" i="10"/>
  <c r="M48" i="10" s="1"/>
  <c r="G50" i="10"/>
  <c r="D56" i="8"/>
  <c r="G52" i="8"/>
  <c r="F51" i="8"/>
  <c r="H48" i="8"/>
  <c r="M48" i="8" s="1"/>
  <c r="F47" i="8"/>
  <c r="F13" i="6"/>
  <c r="E67" i="2"/>
  <c r="G49" i="4"/>
  <c r="H41" i="4"/>
  <c r="M41" i="4" s="1"/>
  <c r="E64" i="2"/>
  <c r="G45" i="3"/>
  <c r="F56" i="3"/>
  <c r="H56" i="3"/>
  <c r="G19" i="2"/>
  <c r="G58" i="3"/>
  <c r="G38" i="2"/>
  <c r="F54" i="3"/>
  <c r="F57" i="3"/>
  <c r="H64" i="3"/>
  <c r="M64" i="3" s="1"/>
  <c r="L68" i="3"/>
  <c r="H67" i="3"/>
  <c r="M67" i="3" s="1"/>
  <c r="H63" i="3"/>
  <c r="M63" i="3" s="1"/>
  <c r="H55" i="3"/>
  <c r="M55" i="3" s="1"/>
  <c r="H22" i="3"/>
  <c r="M22" i="3" s="1"/>
  <c r="H45" i="3"/>
  <c r="M45" i="3" s="1"/>
  <c r="G56" i="3"/>
  <c r="H58" i="3"/>
  <c r="M58" i="3" s="1"/>
  <c r="E60" i="2"/>
  <c r="G60" i="2" s="1"/>
  <c r="F22" i="3"/>
  <c r="M66" i="3"/>
  <c r="H59" i="3"/>
  <c r="F64" i="3"/>
  <c r="F67" i="3"/>
  <c r="H62" i="3"/>
  <c r="M62" i="3" s="1"/>
  <c r="H54" i="3"/>
  <c r="M54" i="3" s="1"/>
  <c r="F59" i="3"/>
  <c r="F61" i="3"/>
  <c r="H43" i="2"/>
  <c r="M43" i="2" s="1"/>
  <c r="M65" i="3"/>
  <c r="H61" i="3"/>
  <c r="M61" i="3" s="1"/>
  <c r="H57" i="3"/>
  <c r="M57" i="3" s="1"/>
  <c r="M53" i="3"/>
  <c r="G15" i="2"/>
  <c r="G12" i="2"/>
  <c r="D64" i="2"/>
  <c r="D63" i="2"/>
  <c r="C62" i="2"/>
  <c r="H16" i="2"/>
  <c r="M16" i="2" s="1"/>
  <c r="H7" i="2"/>
  <c r="M7" i="2" s="1"/>
  <c r="G37" i="2"/>
  <c r="F34" i="2"/>
  <c r="B22" i="2"/>
  <c r="L22" i="2" s="1"/>
  <c r="F7" i="2"/>
  <c r="F37" i="2"/>
  <c r="F33" i="2"/>
  <c r="G40" i="2"/>
  <c r="C65" i="2"/>
  <c r="G65" i="2" s="1"/>
  <c r="C59" i="2"/>
  <c r="E45" i="2"/>
  <c r="G43" i="2"/>
  <c r="F13" i="2"/>
  <c r="G39" i="2"/>
  <c r="E22" i="2"/>
  <c r="H11" i="2"/>
  <c r="M11" i="2" s="1"/>
  <c r="H39" i="2"/>
  <c r="M39" i="2" s="1"/>
  <c r="H12" i="2"/>
  <c r="M12" i="2" s="1"/>
  <c r="H34" i="2"/>
  <c r="M34" i="2" s="1"/>
  <c r="G31" i="2"/>
  <c r="F36" i="2"/>
  <c r="D66" i="2"/>
  <c r="H17" i="2"/>
  <c r="D62" i="2"/>
  <c r="F9" i="2"/>
  <c r="H37" i="2"/>
  <c r="M37" i="2" s="1"/>
  <c r="F32" i="2"/>
  <c r="H40" i="2"/>
  <c r="E63" i="2"/>
  <c r="H32" i="2"/>
  <c r="M32" i="2" s="1"/>
  <c r="D59" i="2"/>
  <c r="G30" i="2"/>
  <c r="H36" i="2"/>
  <c r="M36" i="2" s="1"/>
  <c r="C66" i="2"/>
  <c r="C64" i="2"/>
  <c r="H15" i="2"/>
  <c r="M15" i="2" s="1"/>
  <c r="H13" i="2"/>
  <c r="M13" i="2" s="1"/>
  <c r="F12" i="2"/>
  <c r="H10" i="2"/>
  <c r="D60" i="2"/>
  <c r="B63" i="2"/>
  <c r="L63" i="2" s="1"/>
  <c r="B59" i="2"/>
  <c r="L59" i="2" s="1"/>
  <c r="H38" i="2"/>
  <c r="M38" i="2" s="1"/>
  <c r="G35" i="2"/>
  <c r="H31" i="2"/>
  <c r="M31" i="2" s="1"/>
  <c r="G11" i="2"/>
  <c r="F17" i="2"/>
  <c r="E62" i="2"/>
  <c r="F15" i="2"/>
  <c r="F11" i="2"/>
  <c r="G17" i="2"/>
  <c r="G7" i="2"/>
  <c r="H20" i="2"/>
  <c r="M20" i="2" s="1"/>
  <c r="L62" i="2"/>
  <c r="C61" i="2"/>
  <c r="L60" i="2"/>
  <c r="H9" i="2"/>
  <c r="M9" i="2" s="1"/>
  <c r="F35" i="2"/>
  <c r="F30" i="2"/>
  <c r="H35" i="2"/>
  <c r="M35" i="2" s="1"/>
  <c r="H30" i="2"/>
  <c r="M30" i="2" s="1"/>
  <c r="H33" i="2"/>
  <c r="E61" i="2"/>
  <c r="E59" i="2"/>
  <c r="D61" i="2"/>
  <c r="C63" i="2"/>
  <c r="F43" i="2"/>
  <c r="F16" i="2"/>
  <c r="F14" i="2"/>
  <c r="F10" i="2"/>
  <c r="F31" i="2"/>
  <c r="G42" i="2"/>
  <c r="H41" i="2"/>
  <c r="M41" i="2" s="1"/>
  <c r="C45" i="2"/>
  <c r="G20" i="2"/>
  <c r="G16" i="2"/>
  <c r="H14" i="2"/>
  <c r="M14" i="2" s="1"/>
  <c r="E66" i="2"/>
  <c r="L61" i="2" l="1"/>
  <c r="J59" i="10"/>
  <c r="L66" i="2"/>
  <c r="L67" i="2"/>
  <c r="G41" i="6"/>
  <c r="C22" i="2"/>
  <c r="G22" i="2" s="1"/>
  <c r="C67" i="2"/>
  <c r="G67" i="2" s="1"/>
  <c r="D21" i="2"/>
  <c r="D22" i="2" s="1"/>
  <c r="G54" i="2"/>
  <c r="G56" i="5"/>
  <c r="D65" i="2"/>
  <c r="H42" i="2"/>
  <c r="M42" i="2" s="1"/>
  <c r="F56" i="2"/>
  <c r="D45" i="2"/>
  <c r="M54" i="8"/>
  <c r="D56" i="5"/>
  <c r="H55" i="5"/>
  <c r="M55" i="5" s="1"/>
  <c r="H41" i="6"/>
  <c r="M41" i="6" s="1"/>
  <c r="F41" i="6"/>
  <c r="F62" i="4"/>
  <c r="G59" i="10"/>
  <c r="H56" i="2"/>
  <c r="F54" i="5"/>
  <c r="H54" i="5"/>
  <c r="M54" i="5" s="1"/>
  <c r="B56" i="5"/>
  <c r="L56" i="5" s="1"/>
  <c r="H19" i="2"/>
  <c r="M19" i="2" s="1"/>
  <c r="F19" i="2"/>
  <c r="H18" i="5"/>
  <c r="M18" i="5" s="1"/>
  <c r="G59" i="2"/>
  <c r="G68" i="3"/>
  <c r="G45" i="2"/>
  <c r="G62" i="4"/>
  <c r="H62" i="4"/>
  <c r="M62" i="4" s="1"/>
  <c r="G56" i="8"/>
  <c r="F60" i="2"/>
  <c r="F56" i="8"/>
  <c r="G64" i="2"/>
  <c r="G62" i="2"/>
  <c r="F66" i="2"/>
  <c r="H59" i="10"/>
  <c r="M59" i="10" s="1"/>
  <c r="F59" i="10"/>
  <c r="H56" i="8"/>
  <c r="M56" i="8" s="1"/>
  <c r="F61" i="2"/>
  <c r="F58" i="2"/>
  <c r="H59" i="2"/>
  <c r="M59" i="2" s="1"/>
  <c r="G58" i="2"/>
  <c r="H68" i="3"/>
  <c r="M68" i="3" s="1"/>
  <c r="F68" i="3"/>
  <c r="H55" i="2"/>
  <c r="M55" i="2" s="1"/>
  <c r="F55" i="2"/>
  <c r="G61" i="2"/>
  <c r="F57" i="2"/>
  <c r="H62" i="2"/>
  <c r="M62" i="2" s="1"/>
  <c r="H60" i="2"/>
  <c r="M60" i="2" s="1"/>
  <c r="F63" i="2"/>
  <c r="F59" i="2"/>
  <c r="H54" i="2"/>
  <c r="M54" i="2" s="1"/>
  <c r="H64" i="2"/>
  <c r="M64" i="2" s="1"/>
  <c r="G53" i="2"/>
  <c r="F54" i="2"/>
  <c r="F64" i="2"/>
  <c r="H57" i="2"/>
  <c r="M57" i="2" s="1"/>
  <c r="F62" i="2"/>
  <c r="H58" i="2"/>
  <c r="M58" i="2" s="1"/>
  <c r="E68" i="2"/>
  <c r="G57" i="2"/>
  <c r="H53" i="2"/>
  <c r="M53" i="2" s="1"/>
  <c r="F53" i="2"/>
  <c r="H66" i="2"/>
  <c r="M66" i="2" s="1"/>
  <c r="G66" i="2"/>
  <c r="H63" i="2"/>
  <c r="M63" i="2" s="1"/>
  <c r="G63" i="2"/>
  <c r="H61" i="2"/>
  <c r="M61" i="2" s="1"/>
  <c r="H22" i="2" l="1"/>
  <c r="M22" i="2" s="1"/>
  <c r="L45" i="2"/>
  <c r="F45" i="2"/>
  <c r="L65" i="2"/>
  <c r="G68" i="2"/>
  <c r="F21" i="2"/>
  <c r="H21" i="2"/>
  <c r="M21" i="2" s="1"/>
  <c r="D67" i="2"/>
  <c r="F67" i="2" s="1"/>
  <c r="H65" i="2"/>
  <c r="M65" i="2" s="1"/>
  <c r="F65" i="2"/>
  <c r="H45" i="2"/>
  <c r="M45" i="2" s="1"/>
  <c r="L68" i="2"/>
  <c r="F22" i="2"/>
  <c r="F56" i="5"/>
  <c r="H56" i="5"/>
  <c r="M56" i="5" s="1"/>
  <c r="D68" i="2" l="1"/>
  <c r="F68" i="2" s="1"/>
  <c r="H67" i="2"/>
  <c r="M67" i="2" s="1"/>
  <c r="H68" i="2" l="1"/>
  <c r="M68" i="2" s="1"/>
</calcChain>
</file>

<file path=xl/sharedStrings.xml><?xml version="1.0" encoding="utf-8"?>
<sst xmlns="http://schemas.openxmlformats.org/spreadsheetml/2006/main" count="951" uniqueCount="37">
  <si>
    <t xml:space="preserve">STATISTIKK </t>
  </si>
  <si>
    <t xml:space="preserve">FOR </t>
  </si>
  <si>
    <t>MÅLEVIRKSOMHETEN</t>
  </si>
  <si>
    <t>Passord dokumentbeskyttelse:&lt;Retur&gt;</t>
  </si>
  <si>
    <t>Målesum i kroner</t>
  </si>
  <si>
    <t>Timer</t>
  </si>
  <si>
    <t>Innmålt m/</t>
  </si>
  <si>
    <t>Bergen</t>
  </si>
  <si>
    <t>Glåmdal</t>
  </si>
  <si>
    <t>Haugesund</t>
  </si>
  <si>
    <t>Hamar og Omegn</t>
  </si>
  <si>
    <t>Nordland</t>
  </si>
  <si>
    <t>Sandnes</t>
  </si>
  <si>
    <t>Stavanger</t>
  </si>
  <si>
    <t>Telemark</t>
  </si>
  <si>
    <t>Tromsø</t>
  </si>
  <si>
    <t>Trondheim</t>
  </si>
  <si>
    <t>Vestfold</t>
  </si>
  <si>
    <t>Østfold</t>
  </si>
  <si>
    <t>Oslo</t>
  </si>
  <si>
    <t>Landet i alt</t>
  </si>
  <si>
    <t>Landet i alt 1. halvår</t>
  </si>
  <si>
    <t>Landet i alt 2. halvår</t>
  </si>
  <si>
    <t>* inklusive Buskerud</t>
  </si>
  <si>
    <t>NB: Alle timefortjenester er før eventuelt trekk av målegebyr</t>
  </si>
  <si>
    <t>Agder</t>
  </si>
  <si>
    <t>Drammen - Bærum</t>
  </si>
  <si>
    <t>Oslo*</t>
  </si>
  <si>
    <t>fortjeneste</t>
  </si>
  <si>
    <t>Endringer i %</t>
  </si>
  <si>
    <t>overskudd</t>
  </si>
  <si>
    <t>Gjen.snitt</t>
  </si>
  <si>
    <t>underskudd</t>
  </si>
  <si>
    <t>Gjennom-</t>
  </si>
  <si>
    <t>snitt</t>
  </si>
  <si>
    <t xml:space="preserve">Tromsø </t>
  </si>
  <si>
    <t>310.88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</si>
</sst>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&quot;kr&quot;* #,##0.00_);_(&quot;kr&quot;* \(#,##0.00\);_(&quot;kr&quot;* &quot;-&quot;??_);_(@_)"/>
    <numFmt numFmtId="165" formatCode="_(* #,##0.00_);_(* \(#,##0.00\);_(* &quot;-&quot;??_);_(@_)"/>
    <numFmt numFmtId="166" formatCode="0.0\ %"/>
    <numFmt numFmtId="167" formatCode="_ * #,##0_ ;_ * \-#,##0_ ;_ * &quot;-&quot;??_ ;_ @_ "/>
    <numFmt numFmtId="168" formatCode="_(* #,##0.00_);_(* \(#,##0.00\);_(* \-??_);_(@_)"/>
    <numFmt numFmtId="169" formatCode="_(* #,##0_);_(* \(#,##0\);_(* &quot;-&quot;??_);_(@_)"/>
    <numFmt numFmtId="170" formatCode="#,##0.0"/>
    <numFmt numFmtId="171" formatCode="_(* #,##0.0_);_(* \(#,##0.0\);_(* &quot;-&quot;??_);_(@_)"/>
  </numFmts>
  <fonts count="10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9"/>
      </right>
      <top/>
      <bottom style="thin">
        <color indexed="8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3" fontId="0" fillId="0" borderId="3" xfId="0" applyNumberFormat="1" applyBorder="1"/>
    <xf numFmtId="0" fontId="0" fillId="0" borderId="4" xfId="0" applyBorder="1" applyAlignment="1">
      <alignment horizontal="centerContinuous"/>
    </xf>
    <xf numFmtId="2" fontId="0" fillId="0" borderId="3" xfId="0" applyNumberFormat="1" applyBorder="1"/>
    <xf numFmtId="166" fontId="0" fillId="0" borderId="3" xfId="1" applyNumberFormat="1" applyFont="1" applyBorder="1"/>
    <xf numFmtId="3" fontId="1" fillId="0" borderId="3" xfId="0" applyNumberFormat="1" applyFont="1" applyBorder="1"/>
    <xf numFmtId="2" fontId="1" fillId="0" borderId="3" xfId="0" applyNumberFormat="1" applyFont="1" applyBorder="1"/>
    <xf numFmtId="166" fontId="1" fillId="0" borderId="3" xfId="1" applyNumberFormat="1" applyFont="1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166" fontId="2" fillId="0" borderId="3" xfId="1" applyNumberFormat="1" applyBorder="1"/>
    <xf numFmtId="0" fontId="4" fillId="0" borderId="0" xfId="0" applyFont="1" applyAlignment="1">
      <alignment horizontal="left"/>
    </xf>
    <xf numFmtId="3" fontId="0" fillId="0" borderId="3" xfId="0" applyNumberForma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3" fontId="1" fillId="0" borderId="3" xfId="0" applyNumberFormat="1" applyFont="1" applyBorder="1" applyProtection="1">
      <protection locked="0"/>
    </xf>
    <xf numFmtId="167" fontId="0" fillId="0" borderId="3" xfId="2" applyNumberFormat="1" applyFont="1" applyBorder="1"/>
    <xf numFmtId="167" fontId="1" fillId="0" borderId="3" xfId="2" applyNumberFormat="1" applyFont="1" applyBorder="1"/>
    <xf numFmtId="167" fontId="0" fillId="0" borderId="6" xfId="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/>
    <xf numFmtId="166" fontId="5" fillId="0" borderId="3" xfId="1" applyNumberFormat="1" applyFont="1" applyBorder="1"/>
    <xf numFmtId="167" fontId="1" fillId="0" borderId="3" xfId="2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0" borderId="0" xfId="0" applyFont="1" applyAlignment="1"/>
    <xf numFmtId="3" fontId="0" fillId="0" borderId="0" xfId="0" applyNumberFormat="1"/>
    <xf numFmtId="1" fontId="0" fillId="0" borderId="3" xfId="0" applyNumberFormat="1" applyBorder="1"/>
    <xf numFmtId="3" fontId="1" fillId="0" borderId="3" xfId="0" applyNumberFormat="1" applyFont="1" applyBorder="1" applyProtection="1"/>
    <xf numFmtId="3" fontId="5" fillId="0" borderId="3" xfId="0" applyNumberFormat="1" applyFont="1" applyBorder="1" applyProtection="1"/>
    <xf numFmtId="3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3" xfId="0" applyNumberForma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0" fontId="6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0" xfId="0" applyFont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3" fontId="0" fillId="0" borderId="3" xfId="2" applyNumberFormat="1" applyFont="1" applyBorder="1"/>
    <xf numFmtId="3" fontId="1" fillId="0" borderId="3" xfId="2" applyNumberFormat="1" applyFont="1" applyBorder="1"/>
    <xf numFmtId="3" fontId="6" fillId="0" borderId="3" xfId="0" applyNumberFormat="1" applyFont="1" applyBorder="1"/>
    <xf numFmtId="166" fontId="0" fillId="0" borderId="0" xfId="0" applyNumberFormat="1"/>
    <xf numFmtId="3" fontId="5" fillId="0" borderId="6" xfId="2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1" fillId="0" borderId="3" xfId="0" applyNumberFormat="1" applyFont="1" applyBorder="1"/>
    <xf numFmtId="4" fontId="0" fillId="0" borderId="3" xfId="0" applyNumberFormat="1" applyBorder="1"/>
    <xf numFmtId="4" fontId="0" fillId="0" borderId="3" xfId="0" applyNumberFormat="1" applyBorder="1" applyAlignment="1"/>
    <xf numFmtId="3" fontId="0" fillId="0" borderId="3" xfId="0" applyNumberFormat="1" applyBorder="1" applyAlignment="1" applyProtection="1">
      <protection locked="0"/>
    </xf>
    <xf numFmtId="165" fontId="6" fillId="0" borderId="6" xfId="2" applyNumberFormat="1" applyFont="1" applyBorder="1" applyAlignment="1"/>
    <xf numFmtId="4" fontId="5" fillId="0" borderId="3" xfId="0" applyNumberFormat="1" applyFont="1" applyBorder="1" applyAlignment="1"/>
    <xf numFmtId="3" fontId="6" fillId="0" borderId="3" xfId="0" applyNumberFormat="1" applyFont="1" applyBorder="1" applyProtection="1">
      <protection locked="0"/>
    </xf>
    <xf numFmtId="165" fontId="6" fillId="0" borderId="6" xfId="2" applyFont="1" applyBorder="1" applyAlignment="1">
      <alignment horizontal="right"/>
    </xf>
    <xf numFmtId="4" fontId="5" fillId="0" borderId="3" xfId="0" applyNumberFormat="1" applyFont="1" applyBorder="1"/>
    <xf numFmtId="3" fontId="6" fillId="0" borderId="3" xfId="0" applyNumberFormat="1" applyFont="1" applyBorder="1" applyAlignment="1" applyProtection="1">
      <alignment vertical="center"/>
      <protection locked="0"/>
    </xf>
    <xf numFmtId="4" fontId="6" fillId="0" borderId="6" xfId="2" applyNumberFormat="1" applyFont="1" applyBorder="1" applyAlignment="1">
      <alignment horizontal="right"/>
    </xf>
    <xf numFmtId="4" fontId="1" fillId="0" borderId="3" xfId="0" applyNumberFormat="1" applyFont="1" applyBorder="1" applyProtection="1"/>
    <xf numFmtId="0" fontId="5" fillId="0" borderId="3" xfId="0" applyFont="1" applyBorder="1" applyAlignment="1">
      <alignment horizontal="right"/>
    </xf>
    <xf numFmtId="165" fontId="5" fillId="0" borderId="3" xfId="2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165" fontId="6" fillId="0" borderId="6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6" xfId="2" applyFont="1" applyBorder="1" applyAlignment="1">
      <alignment horizontal="center"/>
    </xf>
    <xf numFmtId="0" fontId="6" fillId="0" borderId="3" xfId="0" applyFont="1" applyBorder="1"/>
    <xf numFmtId="3" fontId="6" fillId="0" borderId="8" xfId="0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165" fontId="6" fillId="0" borderId="3" xfId="2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5" fontId="6" fillId="0" borderId="8" xfId="2" applyFont="1" applyBorder="1" applyAlignment="1">
      <alignment horizontal="center"/>
    </xf>
    <xf numFmtId="165" fontId="6" fillId="0" borderId="9" xfId="2" applyFont="1" applyBorder="1" applyAlignment="1">
      <alignment horizontal="center"/>
    </xf>
    <xf numFmtId="165" fontId="6" fillId="0" borderId="9" xfId="2" applyFont="1" applyBorder="1" applyAlignment="1">
      <alignment horizontal="right"/>
    </xf>
    <xf numFmtId="165" fontId="6" fillId="0" borderId="3" xfId="2" applyFont="1" applyBorder="1"/>
    <xf numFmtId="4" fontId="6" fillId="0" borderId="3" xfId="2" applyNumberFormat="1" applyFont="1" applyBorder="1" applyAlignment="1">
      <alignment horizontal="right"/>
    </xf>
    <xf numFmtId="4" fontId="6" fillId="0" borderId="3" xfId="0" applyNumberFormat="1" applyFont="1" applyBorder="1" applyProtection="1">
      <protection locked="0"/>
    </xf>
    <xf numFmtId="1" fontId="8" fillId="2" borderId="3" xfId="0" applyNumberFormat="1" applyFont="1" applyFill="1" applyBorder="1" applyProtection="1"/>
    <xf numFmtId="169" fontId="6" fillId="0" borderId="3" xfId="2" applyNumberFormat="1" applyFont="1" applyBorder="1" applyAlignment="1">
      <alignment horizontal="right"/>
    </xf>
    <xf numFmtId="169" fontId="6" fillId="0" borderId="3" xfId="2" applyNumberFormat="1" applyFont="1" applyBorder="1"/>
    <xf numFmtId="3" fontId="8" fillId="0" borderId="3" xfId="0" applyNumberFormat="1" applyFont="1" applyBorder="1" applyProtection="1">
      <protection locked="0"/>
    </xf>
    <xf numFmtId="165" fontId="0" fillId="0" borderId="0" xfId="0" applyNumberFormat="1"/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165" fontId="5" fillId="0" borderId="3" xfId="2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3" fontId="0" fillId="0" borderId="6" xfId="0" applyNumberFormat="1" applyBorder="1"/>
    <xf numFmtId="165" fontId="0" fillId="0" borderId="14" xfId="0" applyNumberFormat="1" applyBorder="1"/>
    <xf numFmtId="4" fontId="6" fillId="0" borderId="6" xfId="0" applyNumberFormat="1" applyFont="1" applyBorder="1" applyAlignment="1">
      <alignment horizontal="center"/>
    </xf>
    <xf numFmtId="165" fontId="0" fillId="0" borderId="3" xfId="0" applyNumberFormat="1" applyBorder="1"/>
    <xf numFmtId="2" fontId="6" fillId="0" borderId="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3" xfId="0" applyNumberFormat="1" applyFont="1" applyBorder="1" applyAlignment="1" applyProtection="1">
      <alignment vertical="center"/>
      <protection locked="0"/>
    </xf>
    <xf numFmtId="165" fontId="0" fillId="0" borderId="3" xfId="2" applyFont="1" applyBorder="1" applyProtection="1">
      <protection locked="0"/>
    </xf>
    <xf numFmtId="168" fontId="6" fillId="0" borderId="10" xfId="2" applyNumberFormat="1" applyFont="1" applyFill="1" applyBorder="1" applyAlignment="1" applyProtection="1">
      <alignment horizontal="center"/>
    </xf>
    <xf numFmtId="165" fontId="6" fillId="0" borderId="10" xfId="2" applyFont="1" applyFill="1" applyBorder="1" applyAlignment="1" applyProtection="1">
      <alignment horizontal="center"/>
    </xf>
    <xf numFmtId="165" fontId="6" fillId="0" borderId="11" xfId="2" applyFont="1" applyBorder="1" applyAlignment="1">
      <alignment horizontal="center"/>
    </xf>
    <xf numFmtId="165" fontId="6" fillId="0" borderId="12" xfId="2" applyFont="1" applyBorder="1" applyAlignment="1">
      <alignment horizontal="center"/>
    </xf>
    <xf numFmtId="4" fontId="1" fillId="0" borderId="3" xfId="0" applyNumberFormat="1" applyFont="1" applyBorder="1" applyProtection="1">
      <protection locked="0"/>
    </xf>
    <xf numFmtId="165" fontId="0" fillId="0" borderId="0" xfId="2" applyFont="1"/>
    <xf numFmtId="3" fontId="6" fillId="0" borderId="6" xfId="2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" fontId="8" fillId="0" borderId="3" xfId="0" applyNumberFormat="1" applyFont="1" applyBorder="1" applyProtection="1">
      <protection locked="0"/>
    </xf>
    <xf numFmtId="1" fontId="1" fillId="0" borderId="3" xfId="0" applyNumberFormat="1" applyFont="1" applyBorder="1"/>
    <xf numFmtId="1" fontId="0" fillId="0" borderId="0" xfId="0" applyNumberFormat="1"/>
    <xf numFmtId="2" fontId="0" fillId="0" borderId="3" xfId="0" applyNumberFormat="1" applyBorder="1" applyAlignment="1">
      <alignment horizontal="right"/>
    </xf>
    <xf numFmtId="0" fontId="0" fillId="0" borderId="0" xfId="0" applyAlignment="1"/>
    <xf numFmtId="3" fontId="0" fillId="0" borderId="3" xfId="0" applyNumberFormat="1" applyBorder="1" applyAlignment="1"/>
    <xf numFmtId="165" fontId="5" fillId="0" borderId="6" xfId="2" applyFont="1" applyBorder="1" applyAlignment="1">
      <alignment horizontal="center"/>
    </xf>
    <xf numFmtId="3" fontId="1" fillId="0" borderId="2" xfId="0" applyNumberFormat="1" applyFont="1" applyBorder="1"/>
    <xf numFmtId="0" fontId="5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9" fontId="0" fillId="0" borderId="3" xfId="2" applyNumberFormat="1" applyFont="1" applyBorder="1" applyAlignment="1"/>
    <xf numFmtId="169" fontId="0" fillId="0" borderId="3" xfId="2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/>
    <xf numFmtId="3" fontId="0" fillId="0" borderId="0" xfId="0" applyNumberFormat="1" applyBorder="1"/>
    <xf numFmtId="165" fontId="6" fillId="0" borderId="15" xfId="2" applyFont="1" applyBorder="1" applyAlignment="1">
      <alignment horizontal="center"/>
    </xf>
    <xf numFmtId="4" fontId="6" fillId="0" borderId="16" xfId="0" applyNumberFormat="1" applyFont="1" applyBorder="1"/>
    <xf numFmtId="164" fontId="5" fillId="0" borderId="6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169" fontId="6" fillId="0" borderId="6" xfId="2" applyNumberFormat="1" applyFont="1" applyBorder="1" applyAlignment="1">
      <alignment horizontal="center"/>
    </xf>
    <xf numFmtId="169" fontId="0" fillId="0" borderId="3" xfId="2" applyNumberFormat="1" applyFont="1" applyBorder="1"/>
    <xf numFmtId="171" fontId="0" fillId="0" borderId="3" xfId="2" applyNumberFormat="1" applyFont="1" applyBorder="1" applyProtection="1">
      <protection locked="0"/>
    </xf>
    <xf numFmtId="0" fontId="6" fillId="0" borderId="9" xfId="0" applyFont="1" applyBorder="1" applyAlignment="1">
      <alignment horizontal="right"/>
    </xf>
    <xf numFmtId="170" fontId="6" fillId="0" borderId="9" xfId="0" applyNumberFormat="1" applyFont="1" applyBorder="1" applyAlignment="1">
      <alignment horizontal="right"/>
    </xf>
    <xf numFmtId="169" fontId="6" fillId="0" borderId="8" xfId="2" applyNumberFormat="1" applyFont="1" applyBorder="1" applyAlignment="1">
      <alignment horizontal="right"/>
    </xf>
    <xf numFmtId="165" fontId="6" fillId="0" borderId="17" xfId="2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9" fontId="6" fillId="0" borderId="13" xfId="2" applyNumberFormat="1" applyFont="1" applyBorder="1" applyAlignment="1">
      <alignment horizontal="right"/>
    </xf>
    <xf numFmtId="169" fontId="6" fillId="0" borderId="13" xfId="2" applyNumberFormat="1" applyFont="1" applyBorder="1"/>
    <xf numFmtId="4" fontId="0" fillId="0" borderId="7" xfId="2" applyNumberFormat="1" applyFont="1" applyFill="1" applyBorder="1"/>
    <xf numFmtId="4" fontId="1" fillId="0" borderId="3" xfId="2" applyNumberFormat="1" applyFont="1" applyBorder="1"/>
    <xf numFmtId="4" fontId="0" fillId="0" borderId="3" xfId="2" applyNumberFormat="1" applyFont="1" applyBorder="1"/>
    <xf numFmtId="168" fontId="6" fillId="0" borderId="19" xfId="2" applyNumberFormat="1" applyFont="1" applyFill="1" applyBorder="1" applyAlignment="1" applyProtection="1">
      <alignment horizontal="center"/>
    </xf>
    <xf numFmtId="165" fontId="0" fillId="0" borderId="3" xfId="2" applyFont="1" applyBorder="1"/>
    <xf numFmtId="169" fontId="6" fillId="0" borderId="6" xfId="2" applyNumberFormat="1" applyFont="1" applyBorder="1" applyAlignment="1">
      <alignment horizontal="right"/>
    </xf>
    <xf numFmtId="169" fontId="6" fillId="0" borderId="9" xfId="2" applyNumberFormat="1" applyFont="1" applyBorder="1" applyAlignment="1">
      <alignment horizontal="right"/>
    </xf>
    <xf numFmtId="165" fontId="9" fillId="0" borderId="0" xfId="2" applyFont="1"/>
    <xf numFmtId="169" fontId="9" fillId="0" borderId="0" xfId="2" applyNumberFormat="1" applyFont="1"/>
    <xf numFmtId="43" fontId="0" fillId="0" borderId="3" xfId="0" applyNumberFormat="1" applyBorder="1"/>
    <xf numFmtId="169" fontId="6" fillId="0" borderId="9" xfId="2" applyNumberFormat="1" applyFont="1" applyBorder="1" applyAlignment="1">
      <alignment horizontal="center"/>
    </xf>
    <xf numFmtId="165" fontId="6" fillId="0" borderId="3" xfId="2" applyFont="1" applyBorder="1" applyAlignment="1">
      <alignment horizontal="center"/>
    </xf>
    <xf numFmtId="4" fontId="0" fillId="0" borderId="0" xfId="0" applyNumberForma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zoomScaleNormal="100" workbookViewId="0">
      <selection activeCell="B17" sqref="B17"/>
    </sheetView>
  </sheetViews>
  <sheetFormatPr baseColWidth="10" defaultColWidth="9" defaultRowHeight="30" x14ac:dyDescent="0.4"/>
  <cols>
    <col min="1" max="1" width="10.625" style="1" customWidth="1"/>
    <col min="2" max="9" width="9" style="1" customWidth="1"/>
  </cols>
  <sheetData>
    <row r="1" spans="1:13" x14ac:dyDescent="0.4">
      <c r="A1" s="12"/>
      <c r="B1" s="12"/>
      <c r="C1" s="12"/>
      <c r="D1" s="12"/>
      <c r="E1" s="12"/>
      <c r="F1" s="12"/>
      <c r="G1" s="12"/>
      <c r="H1" s="12"/>
      <c r="I1" s="12"/>
    </row>
    <row r="2" spans="1:13" x14ac:dyDescent="0.4">
      <c r="A2" s="12"/>
      <c r="B2" s="12"/>
      <c r="C2" s="12"/>
      <c r="D2" s="12"/>
      <c r="E2" s="12"/>
      <c r="F2" s="12"/>
      <c r="G2" s="12"/>
      <c r="H2" s="12"/>
      <c r="I2" s="12"/>
    </row>
    <row r="3" spans="1:13" x14ac:dyDescent="0.4">
      <c r="A3" s="12"/>
      <c r="B3" s="12"/>
      <c r="C3" s="12"/>
      <c r="D3" s="12"/>
      <c r="E3" s="12"/>
      <c r="F3" s="12"/>
      <c r="G3" s="12"/>
      <c r="H3" s="12"/>
      <c r="I3" s="12"/>
    </row>
    <row r="4" spans="1:13" x14ac:dyDescent="0.4">
      <c r="A4" s="1" t="s">
        <v>0</v>
      </c>
      <c r="J4" s="13"/>
      <c r="K4" s="13"/>
      <c r="L4" s="13"/>
      <c r="M4" s="13"/>
    </row>
    <row r="5" spans="1:13" x14ac:dyDescent="0.4">
      <c r="J5" s="13"/>
      <c r="K5" s="13"/>
      <c r="L5" s="13"/>
      <c r="M5" s="13"/>
    </row>
    <row r="6" spans="1:13" x14ac:dyDescent="0.4">
      <c r="J6" s="13"/>
      <c r="K6" s="13"/>
      <c r="L6" s="13"/>
      <c r="M6" s="13"/>
    </row>
    <row r="7" spans="1:13" x14ac:dyDescent="0.4">
      <c r="A7" s="1" t="s">
        <v>1</v>
      </c>
      <c r="J7" s="13"/>
      <c r="K7" s="13"/>
      <c r="L7" s="13"/>
      <c r="M7" s="13"/>
    </row>
    <row r="8" spans="1:13" x14ac:dyDescent="0.4">
      <c r="J8" s="13"/>
      <c r="K8" s="13"/>
      <c r="L8" s="13"/>
      <c r="M8" s="13"/>
    </row>
    <row r="9" spans="1:13" x14ac:dyDescent="0.4">
      <c r="J9" s="13"/>
      <c r="K9" s="13"/>
      <c r="L9" s="13"/>
      <c r="M9" s="13"/>
    </row>
    <row r="10" spans="1:13" x14ac:dyDescent="0.4">
      <c r="A10" s="1" t="s">
        <v>2</v>
      </c>
      <c r="J10" s="13"/>
      <c r="K10" s="13"/>
      <c r="L10" s="13"/>
      <c r="M10" s="13"/>
    </row>
    <row r="11" spans="1:13" x14ac:dyDescent="0.4">
      <c r="J11" s="13"/>
      <c r="K11" s="13"/>
      <c r="L11" s="13"/>
      <c r="M11" s="13"/>
    </row>
    <row r="12" spans="1:13" x14ac:dyDescent="0.4">
      <c r="J12" s="13"/>
      <c r="K12" s="13"/>
      <c r="L12" s="13"/>
      <c r="M12" s="13"/>
    </row>
    <row r="13" spans="1:13" x14ac:dyDescent="0.4">
      <c r="J13" s="13"/>
      <c r="K13" s="13"/>
      <c r="L13" s="13"/>
      <c r="M13" s="13"/>
    </row>
    <row r="14" spans="1:13" x14ac:dyDescent="0.4">
      <c r="A14" s="22">
        <v>2017</v>
      </c>
      <c r="J14" s="13"/>
      <c r="K14" s="13"/>
      <c r="L14" s="13"/>
      <c r="M14" s="13"/>
    </row>
    <row r="15" spans="1:13" x14ac:dyDescent="0.4">
      <c r="A15" s="37" t="s">
        <v>24</v>
      </c>
      <c r="B15" s="12"/>
      <c r="C15" s="12"/>
      <c r="D15" s="12"/>
      <c r="E15" s="12"/>
      <c r="F15" s="12"/>
      <c r="G15" s="12"/>
      <c r="H15" s="12"/>
      <c r="I15" s="11" t="s">
        <v>3</v>
      </c>
      <c r="K15" s="11"/>
      <c r="L15" s="11"/>
      <c r="M15" s="11"/>
    </row>
    <row r="16" spans="1:13" x14ac:dyDescent="0.4">
      <c r="B16" s="12"/>
      <c r="C16" s="12"/>
      <c r="D16" s="12"/>
      <c r="E16" s="12"/>
      <c r="F16" s="12"/>
      <c r="G16" s="12"/>
      <c r="H16" s="12"/>
      <c r="I16" s="12"/>
    </row>
    <row r="17" spans="1:9" x14ac:dyDescent="0.4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4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4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4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4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4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4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4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4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4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4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4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4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4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4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4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4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4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4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4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4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4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4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4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4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4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4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4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4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4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4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4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4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4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4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4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4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4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4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4">
      <c r="A56" s="12"/>
      <c r="B56" s="12"/>
      <c r="C56" s="12"/>
      <c r="D56" s="12"/>
      <c r="E56" s="12"/>
      <c r="F56" s="12"/>
      <c r="G56" s="12"/>
      <c r="H56" s="12"/>
      <c r="I56" s="12"/>
    </row>
    <row r="57" spans="1:9" x14ac:dyDescent="0.4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4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4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4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4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4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4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4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4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4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4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4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4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4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4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4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4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4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4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4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4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4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4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4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4">
      <c r="A81" s="12"/>
      <c r="B81" s="12"/>
      <c r="C81" s="12"/>
      <c r="D81" s="12"/>
      <c r="E81" s="12"/>
      <c r="F81" s="12"/>
      <c r="G81" s="12"/>
      <c r="H81" s="12"/>
      <c r="I81" s="12"/>
    </row>
    <row r="82" spans="1:9" x14ac:dyDescent="0.4">
      <c r="A82" s="12"/>
      <c r="B82" s="12"/>
      <c r="C82" s="12"/>
      <c r="D82" s="12"/>
      <c r="E82" s="12"/>
      <c r="F82" s="12"/>
      <c r="G82" s="12"/>
      <c r="H82" s="12"/>
      <c r="I82" s="12"/>
    </row>
    <row r="83" spans="1:9" x14ac:dyDescent="0.4">
      <c r="A83" s="12"/>
      <c r="B83" s="12"/>
      <c r="C83" s="12"/>
      <c r="D83" s="12"/>
      <c r="E83" s="12"/>
      <c r="F83" s="12"/>
      <c r="G83" s="12"/>
      <c r="H83" s="12"/>
      <c r="I83" s="12"/>
    </row>
    <row r="84" spans="1:9" x14ac:dyDescent="0.4">
      <c r="A84" s="12"/>
      <c r="B84" s="12"/>
      <c r="C84" s="12"/>
      <c r="D84" s="12"/>
      <c r="E84" s="12"/>
      <c r="F84" s="12"/>
      <c r="G84" s="12"/>
      <c r="H84" s="12"/>
      <c r="I84" s="12"/>
    </row>
    <row r="85" spans="1:9" x14ac:dyDescent="0.4">
      <c r="A85" s="12"/>
      <c r="B85" s="12"/>
      <c r="C85" s="12"/>
      <c r="D85" s="12"/>
      <c r="E85" s="12"/>
      <c r="F85" s="12"/>
      <c r="G85" s="12"/>
      <c r="H85" s="12"/>
      <c r="I85" s="12"/>
    </row>
    <row r="86" spans="1:9" x14ac:dyDescent="0.4">
      <c r="A86" s="12"/>
      <c r="B86" s="12"/>
      <c r="C86" s="12"/>
      <c r="D86" s="12"/>
      <c r="E86" s="12"/>
      <c r="F86" s="12"/>
      <c r="G86" s="12"/>
      <c r="H86" s="12"/>
      <c r="I86" s="12"/>
    </row>
    <row r="87" spans="1:9" x14ac:dyDescent="0.4">
      <c r="A87" s="12"/>
      <c r="B87" s="12"/>
      <c r="C87" s="12"/>
      <c r="D87" s="12"/>
      <c r="E87" s="12"/>
      <c r="F87" s="12"/>
      <c r="G87" s="12"/>
      <c r="H87" s="12"/>
      <c r="I87" s="12"/>
    </row>
    <row r="88" spans="1:9" x14ac:dyDescent="0.4">
      <c r="A88" s="12"/>
      <c r="B88" s="12"/>
      <c r="C88" s="12"/>
      <c r="D88" s="12"/>
      <c r="E88" s="12"/>
      <c r="F88" s="12"/>
      <c r="G88" s="12"/>
      <c r="H88" s="12"/>
      <c r="I88" s="12"/>
    </row>
    <row r="89" spans="1:9" x14ac:dyDescent="0.4">
      <c r="A89" s="12"/>
      <c r="B89" s="12"/>
      <c r="C89" s="12"/>
      <c r="D89" s="12"/>
      <c r="E89" s="12"/>
      <c r="F89" s="12"/>
      <c r="G89" s="12"/>
      <c r="H89" s="12"/>
      <c r="I89" s="12"/>
    </row>
    <row r="90" spans="1:9" x14ac:dyDescent="0.4">
      <c r="A90" s="12"/>
      <c r="B90" s="12"/>
      <c r="C90" s="12"/>
      <c r="D90" s="12"/>
      <c r="E90" s="12"/>
      <c r="F90" s="12"/>
      <c r="G90" s="12"/>
      <c r="H90" s="12"/>
      <c r="I90" s="12"/>
    </row>
    <row r="91" spans="1:9" x14ac:dyDescent="0.4">
      <c r="A91" s="12"/>
      <c r="B91" s="12"/>
      <c r="C91" s="12"/>
      <c r="D91" s="12"/>
      <c r="E91" s="12"/>
      <c r="F91" s="12"/>
      <c r="G91" s="12"/>
      <c r="H91" s="12"/>
      <c r="I91" s="12"/>
    </row>
    <row r="92" spans="1:9" x14ac:dyDescent="0.4">
      <c r="A92" s="12"/>
      <c r="B92" s="12"/>
      <c r="C92" s="12"/>
      <c r="D92" s="12"/>
      <c r="E92" s="12"/>
      <c r="F92" s="12"/>
      <c r="G92" s="12"/>
      <c r="H92" s="12"/>
      <c r="I92" s="12"/>
    </row>
    <row r="93" spans="1:9" x14ac:dyDescent="0.4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4">
      <c r="A94" s="12"/>
      <c r="B94" s="12"/>
      <c r="C94" s="12"/>
      <c r="D94" s="12"/>
      <c r="E94" s="12"/>
      <c r="F94" s="12"/>
      <c r="G94" s="12"/>
      <c r="H94" s="12"/>
      <c r="I94" s="12"/>
    </row>
    <row r="95" spans="1:9" x14ac:dyDescent="0.4">
      <c r="A95" s="12"/>
      <c r="B95" s="12"/>
      <c r="C95" s="12"/>
      <c r="D95" s="12"/>
      <c r="E95" s="12"/>
      <c r="F95" s="12"/>
      <c r="G95" s="12"/>
      <c r="H95" s="12"/>
      <c r="I95" s="12"/>
    </row>
    <row r="96" spans="1:9" x14ac:dyDescent="0.4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4">
      <c r="A97" s="12"/>
      <c r="B97" s="12"/>
      <c r="C97" s="12"/>
      <c r="D97" s="12"/>
      <c r="E97" s="12"/>
      <c r="F97" s="12"/>
      <c r="G97" s="12"/>
      <c r="H97" s="12"/>
      <c r="I97" s="12"/>
    </row>
    <row r="98" spans="1:9" x14ac:dyDescent="0.4">
      <c r="A98" s="12"/>
      <c r="B98" s="12"/>
      <c r="C98" s="12"/>
      <c r="D98" s="12"/>
      <c r="E98" s="12"/>
      <c r="F98" s="12"/>
      <c r="G98" s="12"/>
      <c r="H98" s="12"/>
      <c r="I98" s="12"/>
    </row>
    <row r="99" spans="1:9" x14ac:dyDescent="0.4">
      <c r="A99" s="12"/>
      <c r="B99" s="12"/>
      <c r="C99" s="12"/>
      <c r="D99" s="12"/>
      <c r="E99" s="12"/>
      <c r="F99" s="12"/>
      <c r="G99" s="12"/>
      <c r="H99" s="12"/>
      <c r="I99" s="12"/>
    </row>
    <row r="100" spans="1:9" x14ac:dyDescent="0.4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x14ac:dyDescent="0.4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x14ac:dyDescent="0.4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x14ac:dyDescent="0.4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x14ac:dyDescent="0.4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x14ac:dyDescent="0.4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x14ac:dyDescent="0.4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x14ac:dyDescent="0.4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x14ac:dyDescent="0.4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x14ac:dyDescent="0.4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x14ac:dyDescent="0.4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x14ac:dyDescent="0.4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x14ac:dyDescent="0.4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x14ac:dyDescent="0.4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4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x14ac:dyDescent="0.4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4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x14ac:dyDescent="0.4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4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x14ac:dyDescent="0.4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x14ac:dyDescent="0.4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x14ac:dyDescent="0.4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x14ac:dyDescent="0.4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x14ac:dyDescent="0.4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x14ac:dyDescent="0.4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x14ac:dyDescent="0.4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x14ac:dyDescent="0.4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x14ac:dyDescent="0.4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x14ac:dyDescent="0.4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x14ac:dyDescent="0.4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x14ac:dyDescent="0.4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x14ac:dyDescent="0.4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x14ac:dyDescent="0.4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x14ac:dyDescent="0.4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x14ac:dyDescent="0.4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x14ac:dyDescent="0.4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x14ac:dyDescent="0.4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x14ac:dyDescent="0.4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x14ac:dyDescent="0.4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x14ac:dyDescent="0.4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x14ac:dyDescent="0.4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x14ac:dyDescent="0.4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x14ac:dyDescent="0.4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x14ac:dyDescent="0.4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x14ac:dyDescent="0.4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x14ac:dyDescent="0.4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x14ac:dyDescent="0.4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x14ac:dyDescent="0.4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x14ac:dyDescent="0.4">
      <c r="A148" s="12"/>
      <c r="B148" s="12"/>
      <c r="C148" s="12"/>
      <c r="D148" s="12"/>
      <c r="E148" s="12"/>
      <c r="F148" s="12"/>
      <c r="G148" s="12"/>
      <c r="H148" s="12"/>
      <c r="I148" s="12"/>
    </row>
  </sheetData>
  <sheetProtection formatCells="0" formatColumns="0" formatRows="0" insertColumns="0" insertRows="0" insertHyperlinks="0" deleteColumns="0" deleteRows="0" sort="0"/>
  <phoneticPr fontId="0" type="noConversion"/>
  <printOptions gridLines="1"/>
  <pageMargins left="0.78740157480314965" right="0.78740157480314965" top="0.78740157480314965" bottom="1.62" header="0.51181102362204722" footer="0.51181102362204722"/>
  <pageSetup paperSize="9" scale="91" orientation="landscape" r:id="rId1"/>
  <headerFooter alignWithMargins="0">
    <oddHeader>&amp;C- 1 -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1"/>
  <sheetViews>
    <sheetView showZeros="0" zoomScale="84" zoomScaleNormal="84" workbookViewId="0">
      <selection activeCell="S18" sqref="S18"/>
    </sheetView>
  </sheetViews>
  <sheetFormatPr baseColWidth="10" defaultColWidth="9" defaultRowHeight="15.75" x14ac:dyDescent="0.25"/>
  <cols>
    <col min="1" max="1" width="25.875" style="14" customWidth="1"/>
    <col min="2" max="3" width="11.75" customWidth="1"/>
    <col min="4" max="5" width="9.625" customWidth="1"/>
    <col min="6" max="8" width="9.25" customWidth="1"/>
    <col min="9" max="9" width="9.875" customWidth="1"/>
    <col min="10" max="13" width="9.25" customWidth="1"/>
  </cols>
  <sheetData>
    <row r="2" spans="1:13" ht="20.25" x14ac:dyDescent="0.3">
      <c r="A2" s="20" t="str">
        <f>"MÅLESTATISTIKK FOR ISOLATØRER -  "&amp;FORS!$A$14</f>
        <v>MÅLESTATISTIKK FOR ISOLATØRER - 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"&amp;FORS!$A$14-0</f>
        <v>Fortjeneste 2017</v>
      </c>
      <c r="G4" s="5"/>
      <c r="H4" s="3"/>
      <c r="I4" s="2">
        <f>FORS!$A$14-1</f>
        <v>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8" t="s">
        <v>21</v>
      </c>
      <c r="B7" s="21">
        <v>0</v>
      </c>
      <c r="C7" s="21"/>
      <c r="D7" s="21"/>
      <c r="E7" s="21"/>
      <c r="F7" s="6">
        <f t="shared" ref="F7:G9" si="0">IF(D7=0,0,B7/D7)</f>
        <v>0</v>
      </c>
      <c r="G7" s="6">
        <f t="shared" si="0"/>
        <v>0</v>
      </c>
      <c r="H7" s="6">
        <f>IF(D7+E7=0,0,(B7+C7)/(D7+E7))</f>
        <v>0</v>
      </c>
      <c r="I7" s="21">
        <v>0</v>
      </c>
      <c r="J7" s="21">
        <v>0</v>
      </c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8" t="s">
        <v>22</v>
      </c>
      <c r="B8" s="21"/>
      <c r="C8" s="21"/>
      <c r="D8" s="21"/>
      <c r="E8" s="21"/>
      <c r="F8" s="6">
        <f>IF(D8=0,0,B8/D8)</f>
        <v>0</v>
      </c>
      <c r="G8" s="6">
        <f>IF(E8=0,0,C8/E8)</f>
        <v>0</v>
      </c>
      <c r="H8" s="6">
        <f>IF(D8+E8=0,0,(B8+C8)/(D8+E8))</f>
        <v>0</v>
      </c>
      <c r="I8" s="21"/>
      <c r="J8" s="21">
        <v>0</v>
      </c>
      <c r="K8" s="6"/>
      <c r="L8" s="19">
        <f t="shared" ref="L8:L9" si="1">IF(I8=0,0,(B8-I8)/I8)</f>
        <v>0</v>
      </c>
      <c r="M8" s="19">
        <f t="shared" ref="M8:M9" si="2">IF(K8=0,0,(H8-K8)/K8)</f>
        <v>0</v>
      </c>
    </row>
    <row r="9" spans="1:13" s="28" customFormat="1" ht="21.75" customHeight="1" x14ac:dyDescent="0.25">
      <c r="A9" s="30" t="str">
        <f>"Landet i alt "&amp;FORS!A14</f>
        <v>Landet i alt 2017</v>
      </c>
      <c r="B9" s="41">
        <f>SUM(B7:B8)</f>
        <v>0</v>
      </c>
      <c r="C9" s="41">
        <f>SUM(C7:C8)</f>
        <v>0</v>
      </c>
      <c r="D9" s="41">
        <f>SUM(D7:D8)</f>
        <v>0</v>
      </c>
      <c r="E9" s="29">
        <f>SUM(E7:E8)</f>
        <v>0</v>
      </c>
      <c r="F9" s="31">
        <f t="shared" si="0"/>
        <v>0</v>
      </c>
      <c r="G9" s="31">
        <f t="shared" si="0"/>
        <v>0</v>
      </c>
      <c r="H9" s="31">
        <f>IF(D9+E9=0,0,(B9+C9)/(D9+E9))</f>
        <v>0</v>
      </c>
      <c r="I9" s="41">
        <f>SUM(I7:I8)</f>
        <v>0</v>
      </c>
      <c r="J9" s="41">
        <f>SUM(J7:J8)</f>
        <v>0</v>
      </c>
      <c r="K9" s="31"/>
      <c r="L9" s="32">
        <f t="shared" si="1"/>
        <v>0</v>
      </c>
      <c r="M9" s="32">
        <f t="shared" si="2"/>
        <v>0</v>
      </c>
    </row>
    <row r="11" spans="1:13" x14ac:dyDescent="0.25">
      <c r="A11" s="27"/>
      <c r="B11" s="2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72" orientation="landscape" r:id="rId1"/>
  <headerFooter alignWithMargins="0">
    <oddFooter>&amp;L&amp;9FORH.AVD./&amp;D/&amp;T/&amp;F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71"/>
  <sheetViews>
    <sheetView showZeros="0" tabSelected="1" zoomScale="84" zoomScaleNormal="84" workbookViewId="0">
      <selection activeCell="P5" sqref="P5:P14"/>
    </sheetView>
  </sheetViews>
  <sheetFormatPr baseColWidth="10" defaultColWidth="9" defaultRowHeight="15.75" x14ac:dyDescent="0.25"/>
  <cols>
    <col min="1" max="1" width="16.875" style="14" customWidth="1"/>
    <col min="2" max="5" width="11.75" customWidth="1"/>
    <col min="6" max="8" width="9.25" customWidth="1"/>
    <col min="9" max="9" width="13.375" customWidth="1"/>
    <col min="10" max="10" width="10.875" customWidth="1"/>
    <col min="11" max="11" width="9.25" customWidth="1"/>
    <col min="12" max="13" width="9.375" customWidth="1"/>
    <col min="16" max="16" width="17.625" customWidth="1"/>
  </cols>
  <sheetData>
    <row r="2" spans="1:16" ht="20.25" x14ac:dyDescent="0.3">
      <c r="A2" s="20" t="str">
        <f>"MÅLESTATISTIKK ALLE BYGGFAG - 1. HALVÅR "&amp;FORS!$A$14</f>
        <v>MÅLESTATISTIKK ALLE BYGGFAG - 1. HALVÅR 2017</v>
      </c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6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6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  <c r="P6" s="166"/>
    </row>
    <row r="7" spans="1:16" x14ac:dyDescent="0.25">
      <c r="A7" s="17" t="s">
        <v>25</v>
      </c>
      <c r="B7" s="4">
        <f>BETONG!B7+TØMRERE!B7+MALERE!B7+TAKTEKKERE!B7+MURERE!B7</f>
        <v>5186834</v>
      </c>
      <c r="C7" s="4">
        <f>BETONG!C7+TØMRERE!C7+MALERE!C7+TAKTEKKERE!C7+MURERE!C7</f>
        <v>0</v>
      </c>
      <c r="D7" s="4">
        <f>BETONG!D7+TØMRERE!D7+MALERE!D7+TAKTEKKERE!D7+MURERE!D7</f>
        <v>18199</v>
      </c>
      <c r="E7" s="4">
        <f>BETONG!E7+TØMRERE!E7+MALERE!E7+TAKTEKKERE!E7+MURERE!E7</f>
        <v>0</v>
      </c>
      <c r="F7" s="6">
        <f t="shared" ref="F7:G22" si="0">IF(D7=0,0,B7/D7)</f>
        <v>285.00653882081434</v>
      </c>
      <c r="G7" s="6">
        <f t="shared" si="0"/>
        <v>0</v>
      </c>
      <c r="H7" s="6">
        <f t="shared" ref="H7:H22" si="1">IF(D7+E7=0,0,(B7+C7)/(D7+E7))</f>
        <v>285.00653882081434</v>
      </c>
      <c r="I7" s="4">
        <v>10755402</v>
      </c>
      <c r="J7" s="54">
        <v>0</v>
      </c>
      <c r="K7" s="6">
        <v>265.54000000000002</v>
      </c>
      <c r="L7" s="7">
        <f>IF(I7=0,0,(B7-I7)/I7)</f>
        <v>-0.51774615211965114</v>
      </c>
      <c r="M7" s="7">
        <f>(H7-K7)/K7</f>
        <v>7.3309252168465469E-2</v>
      </c>
      <c r="P7" s="166"/>
    </row>
    <row r="8" spans="1:16" x14ac:dyDescent="0.25">
      <c r="A8" s="17" t="s">
        <v>7</v>
      </c>
      <c r="B8" s="4">
        <f>BETONG!B8+TØMRERE!B8+MALERE!B8+RØRLEGGERE!B7+MURERE!B8+TAKTEKKERE!B11</f>
        <v>23286394.901000001</v>
      </c>
      <c r="C8" s="4">
        <f>BETONG!C8+TØMRERE!C8+MALERE!C8+RØRLEGGERE!C7+MURERE!C8+TAKTEKKERE!C11</f>
        <v>0</v>
      </c>
      <c r="D8" s="4">
        <f>BETONG!D8+TØMRERE!D8+MALERE!D8+RØRLEGGERE!D7+MURERE!D8+TAKTEKKERE!D11</f>
        <v>84685.51999999999</v>
      </c>
      <c r="E8" s="4">
        <f>BETONG!E8+TØMRERE!E8+MALERE!E8+RØRLEGGERE!E7+MURERE!E8+TAKTEKKERE!E11</f>
        <v>0</v>
      </c>
      <c r="F8" s="6">
        <f t="shared" ref="F8" si="2">IF(D8=0,0,B8/D8)</f>
        <v>274.97492961016246</v>
      </c>
      <c r="G8" s="6">
        <f t="shared" ref="G8" si="3">IF(E8=0,0,C8/E8)</f>
        <v>0</v>
      </c>
      <c r="H8" s="6">
        <f t="shared" ref="H8" si="4">IF(D8+E8=0,0,(B8+C8)/(D8+E8))</f>
        <v>274.97492961016246</v>
      </c>
      <c r="I8" s="4">
        <v>49166471</v>
      </c>
      <c r="J8" s="54">
        <f>C8</f>
        <v>0</v>
      </c>
      <c r="K8" s="6">
        <v>273.08</v>
      </c>
      <c r="L8" s="7">
        <f t="shared" ref="L8:L22" si="5">IF(I8=0,0,(B8-I8)/I8)</f>
        <v>-0.52637652393233592</v>
      </c>
      <c r="M8" s="7">
        <f t="shared" ref="M8:M22" si="6">(H8-K8)/K8</f>
        <v>6.9391006670663476E-3</v>
      </c>
      <c r="P8" s="166"/>
    </row>
    <row r="9" spans="1:16" x14ac:dyDescent="0.25">
      <c r="A9" s="17" t="s">
        <v>26</v>
      </c>
      <c r="B9" s="4">
        <f>BETONG!B9+TØMRERE!B9</f>
        <v>0</v>
      </c>
      <c r="C9" s="4">
        <f>BETONG!C9+TØMRERE!C9</f>
        <v>0</v>
      </c>
      <c r="D9" s="4">
        <f>BETONG!D9+TØMRERE!D9</f>
        <v>0</v>
      </c>
      <c r="E9" s="4">
        <f>BETONG!E9+TØMRERE!E9</f>
        <v>0</v>
      </c>
      <c r="F9" s="6">
        <f t="shared" si="0"/>
        <v>0</v>
      </c>
      <c r="G9" s="6">
        <f t="shared" si="0"/>
        <v>0</v>
      </c>
      <c r="H9" s="6">
        <f t="shared" si="1"/>
        <v>0</v>
      </c>
      <c r="J9" s="54">
        <v>0</v>
      </c>
      <c r="L9" s="7">
        <f>IF(I32=0,0,(B9-I32)/I32)</f>
        <v>-1</v>
      </c>
      <c r="M9" s="7">
        <f>(H9-K32)/K32</f>
        <v>-1</v>
      </c>
      <c r="P9" s="116"/>
    </row>
    <row r="10" spans="1:16" x14ac:dyDescent="0.25">
      <c r="A10" s="17"/>
      <c r="B10" s="4">
        <f>BETONG!B10+TØMRERE!B10+TAKTEKKERE!B9+MURERE!B9+MALERE!B9</f>
        <v>0</v>
      </c>
      <c r="C10" s="4">
        <f>BETONG!C10+TØMRERE!C10+TAKTEKKERE!C9+MURERE!C9+MALERE!C9</f>
        <v>0</v>
      </c>
      <c r="D10" s="4">
        <f>BETONG!D10+TØMRERE!D10+TAKTEKKERE!D9+MURERE!D9+MALERE!D9</f>
        <v>0</v>
      </c>
      <c r="E10" s="4">
        <f>BETONG!E10+TØMRERE!E10+TAKTEKKERE!E9+MURERE!E9+MALERE!E9</f>
        <v>0</v>
      </c>
      <c r="F10" s="6">
        <f t="shared" si="0"/>
        <v>0</v>
      </c>
      <c r="G10" s="6">
        <f t="shared" si="0"/>
        <v>0</v>
      </c>
      <c r="H10" s="6">
        <f t="shared" si="1"/>
        <v>0</v>
      </c>
      <c r="I10" s="4"/>
      <c r="J10" s="54">
        <v>0</v>
      </c>
      <c r="K10" s="6"/>
      <c r="L10" s="7"/>
      <c r="M10" s="7"/>
      <c r="P10" s="166"/>
    </row>
    <row r="11" spans="1:16" x14ac:dyDescent="0.25">
      <c r="A11" s="17" t="s">
        <v>9</v>
      </c>
      <c r="B11" s="4">
        <f>BETONG!B11+'BLIKK OG VENTILASJON'!B7+TAKTEKKERE!B8</f>
        <v>9497061</v>
      </c>
      <c r="C11" s="4">
        <f>BETONG!C11++'BLIKK OG VENTILASJON'!C7+TAKTEKKERE!C8</f>
        <v>0</v>
      </c>
      <c r="D11" s="4">
        <f>BETONG!D11++'BLIKK OG VENTILASJON'!D7+TAKTEKKERE!D8</f>
        <v>35732.89</v>
      </c>
      <c r="E11" s="4">
        <f>BETONG!E11++'BLIKK OG VENTILASJON'!E7+TAKTEKKERE!E8</f>
        <v>0</v>
      </c>
      <c r="F11" s="6">
        <f t="shared" si="0"/>
        <v>265.77925826878266</v>
      </c>
      <c r="G11" s="6">
        <f t="shared" si="0"/>
        <v>0</v>
      </c>
      <c r="H11" s="6">
        <f t="shared" si="1"/>
        <v>265.77925826878266</v>
      </c>
      <c r="I11" s="4">
        <v>6789716</v>
      </c>
      <c r="J11" s="54">
        <v>0</v>
      </c>
      <c r="K11" s="6">
        <v>254.51</v>
      </c>
      <c r="L11" s="7">
        <f t="shared" si="5"/>
        <v>0.39874200923867803</v>
      </c>
      <c r="M11" s="7">
        <f t="shared" si="6"/>
        <v>4.4278253384081825E-2</v>
      </c>
      <c r="P11" s="166"/>
    </row>
    <row r="12" spans="1:16" x14ac:dyDescent="0.25">
      <c r="A12" s="17" t="s">
        <v>10</v>
      </c>
      <c r="B12" s="4">
        <f>BETONG!B12+TØMRERE!B11+MALERE!B10+TAKTEKKERE!B10+MURERE!B10</f>
        <v>12741921.25</v>
      </c>
      <c r="C12" s="64">
        <f>BETONG!C12+TØMRERE!C11+MALERE!C10+TAKTEKKERE!C10+MURERE!C10</f>
        <v>861127</v>
      </c>
      <c r="D12" s="4">
        <f>BETONG!D12+TØMRERE!D11+MALERE!D10+TAKTEKKERE!D10+MURERE!D10</f>
        <v>43766.05</v>
      </c>
      <c r="E12" s="4">
        <f>BETONG!E12+TØMRERE!E11+MALERE!E10+TAKTEKKERE!E10+MURERE!E10</f>
        <v>4385</v>
      </c>
      <c r="F12" s="6">
        <f t="shared" si="0"/>
        <v>291.13710855788901</v>
      </c>
      <c r="G12" s="6">
        <f t="shared" si="0"/>
        <v>196.38015963511972</v>
      </c>
      <c r="H12" s="6">
        <f t="shared" si="1"/>
        <v>282.50782174012818</v>
      </c>
      <c r="I12" s="4">
        <v>9555534</v>
      </c>
      <c r="J12" s="54">
        <v>823660</v>
      </c>
      <c r="K12" s="6">
        <v>263.98</v>
      </c>
      <c r="L12" s="7">
        <f t="shared" si="5"/>
        <v>0.33345988303741059</v>
      </c>
      <c r="M12" s="7">
        <f t="shared" si="6"/>
        <v>7.0186460111099927E-2</v>
      </c>
      <c r="P12" s="166"/>
    </row>
    <row r="13" spans="1:16" x14ac:dyDescent="0.25">
      <c r="A13" s="17" t="s">
        <v>11</v>
      </c>
      <c r="B13" s="4">
        <f>BETONG!B13+TØMRERE!B12+MALERE!B11+RØRLEGGERE!B8+MURERE!B11+TAKTEKKERE!B12</f>
        <v>0</v>
      </c>
      <c r="C13" s="4">
        <f>BETONG!C13+TØMRERE!C12+MALERE!C11+RØRLEGGERE!C8+MURERE!C11+TAKTEKKERE!C12</f>
        <v>0</v>
      </c>
      <c r="D13" s="4">
        <f>BETONG!D13+TØMRERE!D12+MALERE!D11+RØRLEGGERE!D8+MURERE!D11+TAKTEKKERE!D12</f>
        <v>0</v>
      </c>
      <c r="E13" s="4">
        <f>BETONG!E13+TØMRERE!E12+MALERE!E11+RØRLEGGERE!E8+MURERE!E11+TAKTEKKERE!E12</f>
        <v>0</v>
      </c>
      <c r="F13" s="6">
        <f t="shared" si="0"/>
        <v>0</v>
      </c>
      <c r="G13" s="6">
        <f t="shared" si="0"/>
        <v>0</v>
      </c>
      <c r="H13" s="6">
        <f t="shared" si="1"/>
        <v>0</v>
      </c>
      <c r="I13" s="4">
        <v>7370371</v>
      </c>
      <c r="J13" s="54">
        <v>675503</v>
      </c>
      <c r="K13" s="6">
        <v>306.66000000000003</v>
      </c>
      <c r="L13" s="7">
        <f t="shared" si="5"/>
        <v>-1</v>
      </c>
      <c r="M13" s="7">
        <f t="shared" si="6"/>
        <v>-1</v>
      </c>
      <c r="P13" s="166"/>
    </row>
    <row r="14" spans="1:16" x14ac:dyDescent="0.25">
      <c r="A14" s="17" t="s">
        <v>12</v>
      </c>
      <c r="B14" s="4">
        <f>BETONG!B14</f>
        <v>25854094.280000001</v>
      </c>
      <c r="C14" s="4">
        <f>BETONG!C14+MALERE!C12</f>
        <v>0</v>
      </c>
      <c r="D14" s="4">
        <f>BETONG!D14+MALERE!D12</f>
        <v>87839.79</v>
      </c>
      <c r="E14" s="4">
        <f>BETONG!E14+MALERE!E12</f>
        <v>0</v>
      </c>
      <c r="F14" s="6">
        <f t="shared" si="0"/>
        <v>294.3323780714868</v>
      </c>
      <c r="G14" s="6">
        <f t="shared" si="0"/>
        <v>0</v>
      </c>
      <c r="H14" s="6">
        <f t="shared" si="1"/>
        <v>294.3323780714868</v>
      </c>
      <c r="I14" s="4">
        <v>40738774</v>
      </c>
      <c r="J14" s="54">
        <v>0</v>
      </c>
      <c r="K14" s="6">
        <v>321.20999999999998</v>
      </c>
      <c r="L14" s="7">
        <f t="shared" si="5"/>
        <v>-0.36536886750691122</v>
      </c>
      <c r="M14" s="7">
        <f t="shared" si="6"/>
        <v>-8.3676168016292088E-2</v>
      </c>
    </row>
    <row r="15" spans="1:16" x14ac:dyDescent="0.25">
      <c r="A15" s="17" t="s">
        <v>13</v>
      </c>
      <c r="B15" s="4">
        <f>BETONG!B15+TØMRERE!B13+RØRLEGGERE!B9+'BLIKK OG VENTILASJON'!B8+TAKTEKKERE!B13+MURERE!B12</f>
        <v>5523085.0200000005</v>
      </c>
      <c r="C15" s="4">
        <f>BETONG!C15+TØMRERE!C13+RØRLEGGERE!C9+'BLIKK OG VENTILASJON'!C8+TAKTEKKERE!C13+MURERE!C12</f>
        <v>81095</v>
      </c>
      <c r="D15" s="4">
        <f>BETONG!D15+TØMRERE!D13+RØRLEGGERE!D9+'BLIKK OG VENTILASJON'!D8+TAKTEKKERE!D13+MURERE!D12</f>
        <v>17828.400000000001</v>
      </c>
      <c r="E15" s="4">
        <f>BETONG!E15+TØMRERE!E13+RØRLEGGERE!E9+'BLIKK OG VENTILASJON'!E8+TAKTEKKERE!E13+MURERE!E12</f>
        <v>560.20000000000005</v>
      </c>
      <c r="F15" s="6">
        <f t="shared" si="0"/>
        <v>309.79140135962848</v>
      </c>
      <c r="G15" s="6">
        <f t="shared" si="0"/>
        <v>144.7607997143877</v>
      </c>
      <c r="H15" s="6">
        <f t="shared" si="1"/>
        <v>304.76382215068031</v>
      </c>
      <c r="I15" s="4">
        <v>7357788</v>
      </c>
      <c r="J15" s="54">
        <v>204969</v>
      </c>
      <c r="K15" s="6">
        <v>275.81</v>
      </c>
      <c r="L15" s="7">
        <f t="shared" si="5"/>
        <v>-0.24935523828628925</v>
      </c>
      <c r="M15" s="7">
        <f t="shared" si="6"/>
        <v>0.10497741978420039</v>
      </c>
    </row>
    <row r="16" spans="1:16" x14ac:dyDescent="0.25">
      <c r="A16" s="17" t="s">
        <v>14</v>
      </c>
      <c r="B16" s="4">
        <f>BETONG!B16+TØMRERE!B14+MALERE!B13+TAKTEKKERE!B14+MURERE!B14</f>
        <v>19242486</v>
      </c>
      <c r="C16" s="4">
        <f>BETONG!C16+TØMRERE!C14+MALERE!C10+TAKTEKKERE!C14+MURERE!C14</f>
        <v>347493</v>
      </c>
      <c r="D16" s="4">
        <f>BETONG!D16+TØMRERE!D14+MALERE!D13+TAKTEKKERE!D14+MURERE!D14</f>
        <v>64674</v>
      </c>
      <c r="E16" s="4">
        <f>BETONG!E16+TØMRERE!E14+MALERE!E13+TAKTEKKERE!E14+MURERE!E14</f>
        <v>0</v>
      </c>
      <c r="F16" s="6">
        <f t="shared" si="0"/>
        <v>297.53047592541054</v>
      </c>
      <c r="G16" s="6">
        <f t="shared" si="0"/>
        <v>0</v>
      </c>
      <c r="H16" s="6">
        <f t="shared" si="1"/>
        <v>302.90346970962054</v>
      </c>
      <c r="I16" s="4">
        <v>11658182</v>
      </c>
      <c r="J16" s="54">
        <v>424120</v>
      </c>
      <c r="K16" s="6">
        <v>263.49</v>
      </c>
      <c r="L16" s="7">
        <f t="shared" si="5"/>
        <v>0.65055632173181033</v>
      </c>
      <c r="M16" s="7">
        <f t="shared" si="6"/>
        <v>0.14958241189274935</v>
      </c>
    </row>
    <row r="17" spans="1:13" x14ac:dyDescent="0.25">
      <c r="A17" s="42" t="s">
        <v>35</v>
      </c>
      <c r="B17" s="4">
        <f>BETONG!B17+MALERE!B14+RØRLEGGERE!B10+TØMRERE!B16+MURERE!B13</f>
        <v>0</v>
      </c>
      <c r="C17" s="4">
        <f>BETONG!C17+MALERE!C14+RØRLEGGERE!C10+TØMRERE!C16+MURERE!C13</f>
        <v>0</v>
      </c>
      <c r="D17" s="4">
        <f>BETONG!D17+MALERE!D14+RØRLEGGERE!D10+TØMRERE!D16+MURERE!D13</f>
        <v>0</v>
      </c>
      <c r="E17" s="4">
        <f>BETONG!E17+MALERE!E14+RØRLEGGERE!E10+TØMRERE!E16+MURERE!E13</f>
        <v>0</v>
      </c>
      <c r="F17" s="6">
        <f t="shared" si="0"/>
        <v>0</v>
      </c>
      <c r="G17" s="6">
        <f t="shared" si="0"/>
        <v>0</v>
      </c>
      <c r="H17" s="6">
        <f t="shared" si="1"/>
        <v>0</v>
      </c>
      <c r="I17" s="4">
        <v>1444903</v>
      </c>
      <c r="J17" s="54">
        <v>0</v>
      </c>
      <c r="K17" s="6">
        <v>248.55</v>
      </c>
      <c r="L17" s="7"/>
      <c r="M17" s="7"/>
    </row>
    <row r="18" spans="1:13" x14ac:dyDescent="0.25">
      <c r="A18" s="17" t="s">
        <v>16</v>
      </c>
      <c r="B18" s="4">
        <f>BETONG!B18+TØMRERE!B15+MALERE!B15+RØRLEGGERE!B11+TAKTEKKERE!B15+MURERE!B15</f>
        <v>175140723.59</v>
      </c>
      <c r="C18" s="4">
        <f>BETONG!C18+TØMRERE!C15+MALERE!C15+RØRLEGGERE!C11+TAKTEKKERE!C15+MURERE!C15</f>
        <v>9666677.0500000007</v>
      </c>
      <c r="D18" s="4">
        <f>BETONG!D18+TØMRERE!D15+MALERE!D15+RØRLEGGERE!D11+TAKTEKKERE!D15+MURERE!D15</f>
        <v>605269.73</v>
      </c>
      <c r="E18" s="4">
        <f>BETONG!E18+TØMRERE!E15+MALERE!E15+RØRLEGGERE!E11+TAKTEKKERE!E15+MURERE!E15</f>
        <v>48507.86</v>
      </c>
      <c r="F18" s="6">
        <f t="shared" si="0"/>
        <v>289.3597926828424</v>
      </c>
      <c r="G18" s="6">
        <f t="shared" si="0"/>
        <v>199.28063307678386</v>
      </c>
      <c r="H18" s="6">
        <f t="shared" si="1"/>
        <v>282.67625484073267</v>
      </c>
      <c r="I18" s="4">
        <v>128528279</v>
      </c>
      <c r="J18" s="54">
        <v>5172886</v>
      </c>
      <c r="K18" s="6">
        <v>275.43</v>
      </c>
      <c r="L18" s="7">
        <f t="shared" si="5"/>
        <v>0.36266294820612982</v>
      </c>
      <c r="M18" s="7">
        <f t="shared" si="6"/>
        <v>2.630888008108289E-2</v>
      </c>
    </row>
    <row r="19" spans="1:13" x14ac:dyDescent="0.25">
      <c r="A19" s="17" t="s">
        <v>17</v>
      </c>
      <c r="B19" s="4">
        <f>BETONG!B19+TØMRERE!B17+MALERE!B16+TAKTEKKERE!B16+MURERE!B16</f>
        <v>3193365.29</v>
      </c>
      <c r="C19" s="4">
        <f>BETONG!C19+TØMRERE!C17+MALERE!C16+TAKTEKKERE!C16</f>
        <v>379041</v>
      </c>
      <c r="D19" s="4">
        <f>BETONG!D19+TØMRERE!D17+MALERE!D16+TAKTEKKERE!D16</f>
        <v>11680.5</v>
      </c>
      <c r="E19" s="4">
        <f>BETONG!E19+TØMRERE!E17</f>
        <v>1946</v>
      </c>
      <c r="F19" s="6">
        <f t="shared" si="0"/>
        <v>273.39285903856853</v>
      </c>
      <c r="G19" s="6">
        <f t="shared" si="0"/>
        <v>194.77954779033917</v>
      </c>
      <c r="H19" s="6">
        <f t="shared" si="1"/>
        <v>262.16609474186328</v>
      </c>
      <c r="I19" s="4">
        <v>8514783</v>
      </c>
      <c r="J19" s="54">
        <v>435336</v>
      </c>
      <c r="K19" s="6">
        <v>241.53</v>
      </c>
      <c r="L19" s="7">
        <f t="shared" si="5"/>
        <v>-0.62496222276011026</v>
      </c>
      <c r="M19" s="7">
        <f t="shared" si="6"/>
        <v>8.5439054121075123E-2</v>
      </c>
    </row>
    <row r="20" spans="1:13" x14ac:dyDescent="0.25">
      <c r="A20" s="17" t="s">
        <v>18</v>
      </c>
      <c r="B20" s="4">
        <f>BETONG!B20+TØMRERE!B18+MURERE!B18</f>
        <v>13729163.5</v>
      </c>
      <c r="C20" s="4">
        <f>BETONG!C20+TØMRERE!C18+MURERE!C18</f>
        <v>418602</v>
      </c>
      <c r="D20" s="4">
        <f>BETONG!D20+TØMRERE!D18+MURERE!D18</f>
        <v>47554.1</v>
      </c>
      <c r="E20" s="4">
        <f>BETONG!E20+TØMRERE!E18+MURERE!E18</f>
        <v>1903</v>
      </c>
      <c r="F20" s="6">
        <f t="shared" si="0"/>
        <v>288.70619988602454</v>
      </c>
      <c r="G20" s="6">
        <f t="shared" si="0"/>
        <v>219.96952180767209</v>
      </c>
      <c r="H20" s="6">
        <f t="shared" si="1"/>
        <v>286.0613642934988</v>
      </c>
      <c r="I20" s="4">
        <v>16445913</v>
      </c>
      <c r="J20" s="54">
        <v>3802314</v>
      </c>
      <c r="K20" s="6">
        <v>263.66000000000003</v>
      </c>
      <c r="L20" s="7">
        <f t="shared" si="5"/>
        <v>-0.16519298746138325</v>
      </c>
      <c r="M20" s="7">
        <f t="shared" si="6"/>
        <v>8.4963074768636765E-2</v>
      </c>
    </row>
    <row r="21" spans="1:13" x14ac:dyDescent="0.25">
      <c r="A21" s="17" t="s">
        <v>19</v>
      </c>
      <c r="B21" s="4">
        <f>BETONG!B21+TØMRERE!B19+MALERE!B17+RØRLEGGERE!B12+TAKTEKKERE!B17+MURERE!B17</f>
        <v>88156004.560000002</v>
      </c>
      <c r="C21" s="4">
        <f>BETONG!C21+TØMRERE!C19+MALERE!C18+RØRLEGGERE!C14+TAKTEKKERE!C18+MURERE!C18</f>
        <v>9204726.6699999999</v>
      </c>
      <c r="D21" s="4">
        <f>BETONG!D21+TØMRERE!D19+MALERE!D18+TAKTEKKERE!D18+MURERE!D18</f>
        <v>283889.22000000003</v>
      </c>
      <c r="E21" s="4">
        <f>BETONG!E21+TØMRERE!E19+MALERE!E17+RØRLEGGERE!E12+TAKTEKKERE!E17+MURERE!E17</f>
        <v>34172.199999999997</v>
      </c>
      <c r="F21" s="6">
        <f t="shared" si="0"/>
        <v>310.52959517096139</v>
      </c>
      <c r="G21" s="6">
        <f t="shared" si="0"/>
        <v>269.36301057584825</v>
      </c>
      <c r="H21" s="6">
        <f t="shared" si="1"/>
        <v>306.10669860557118</v>
      </c>
      <c r="I21" s="4">
        <v>70571022</v>
      </c>
      <c r="J21" s="54">
        <v>288977</v>
      </c>
      <c r="K21" s="6">
        <v>290.99</v>
      </c>
      <c r="L21" s="7">
        <f t="shared" si="5"/>
        <v>0.2491813503848648</v>
      </c>
      <c r="M21" s="7">
        <f t="shared" si="6"/>
        <v>5.1949203084543018E-2</v>
      </c>
    </row>
    <row r="22" spans="1:13" s="11" customFormat="1" x14ac:dyDescent="0.25">
      <c r="A22" s="18" t="s">
        <v>20</v>
      </c>
      <c r="B22" s="8">
        <f>SUM(B7:B21)</f>
        <v>381551133.39100003</v>
      </c>
      <c r="C22" s="8">
        <f>SUM(C7:C21)</f>
        <v>20958761.719999999</v>
      </c>
      <c r="D22" s="8">
        <f>SUM(D7:D21)</f>
        <v>1301119.2</v>
      </c>
      <c r="E22" s="8">
        <f>SUM(E7:E21)</f>
        <v>91474.26</v>
      </c>
      <c r="F22" s="9">
        <f t="shared" si="0"/>
        <v>293.24840751792766</v>
      </c>
      <c r="G22" s="9">
        <f t="shared" si="0"/>
        <v>229.1219597731646</v>
      </c>
      <c r="H22" s="9">
        <f t="shared" si="1"/>
        <v>289.03618081834168</v>
      </c>
      <c r="I22" s="55">
        <f>SUM(I7:I21)</f>
        <v>368897138</v>
      </c>
      <c r="J22" s="55">
        <f>SUM(J7:J21)</f>
        <v>11827765</v>
      </c>
      <c r="K22" s="9">
        <v>279.7</v>
      </c>
      <c r="L22" s="32">
        <f t="shared" si="5"/>
        <v>3.4302232485739784E-2</v>
      </c>
      <c r="M22" s="32">
        <f t="shared" si="6"/>
        <v>3.3379266422387158E-2</v>
      </c>
    </row>
    <row r="23" spans="1:13" x14ac:dyDescent="0.25">
      <c r="A23" s="43"/>
    </row>
    <row r="25" spans="1:13" ht="20.25" x14ac:dyDescent="0.3">
      <c r="A25" s="20" t="str">
        <f>"MÅLESTATISTIKK FOR ALLE BYGGFAG - 2. HALVÅR "&amp;FORS!$A$14</f>
        <v>MÅLESTATISTIKK FOR ALLE BYGGFAG - 2. HALVÅR 2017</v>
      </c>
    </row>
    <row r="26" spans="1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5"/>
      <c r="B27" s="2" t="s">
        <v>4</v>
      </c>
      <c r="C27" s="3"/>
      <c r="D27" s="2" t="s">
        <v>5</v>
      </c>
      <c r="E27" s="3"/>
      <c r="F27" s="2" t="str">
        <f>"Fortjeneste 2. halvår  "&amp;FORS!$A$14-0</f>
        <v>Fortjeneste 2. halvår  2017</v>
      </c>
      <c r="G27" s="5"/>
      <c r="H27" s="3"/>
      <c r="I27" s="2" t="str">
        <f>" 2. halvår  "&amp;FORS!$A$14-1</f>
        <v xml:space="preserve"> 2. halvår  2016</v>
      </c>
      <c r="J27" s="5"/>
      <c r="K27" s="3"/>
      <c r="L27" s="46" t="s">
        <v>29</v>
      </c>
      <c r="M27" s="3"/>
    </row>
    <row r="28" spans="1:13" x14ac:dyDescent="0.25">
      <c r="A28" s="47"/>
      <c r="B28" s="48" t="s">
        <v>6</v>
      </c>
      <c r="C28" s="48" t="s">
        <v>6</v>
      </c>
      <c r="D28" s="48" t="s">
        <v>6</v>
      </c>
      <c r="E28" s="48" t="s">
        <v>6</v>
      </c>
      <c r="F28" s="48" t="s">
        <v>6</v>
      </c>
      <c r="G28" s="48" t="s">
        <v>6</v>
      </c>
      <c r="H28" s="49" t="s">
        <v>33</v>
      </c>
      <c r="I28" s="48" t="s">
        <v>6</v>
      </c>
      <c r="J28" s="48" t="s">
        <v>6</v>
      </c>
      <c r="K28" s="49" t="s">
        <v>31</v>
      </c>
      <c r="L28" s="48" t="s">
        <v>6</v>
      </c>
      <c r="M28" s="49" t="s">
        <v>31</v>
      </c>
    </row>
    <row r="29" spans="1:13" x14ac:dyDescent="0.25">
      <c r="A29" s="51"/>
      <c r="B29" s="52" t="s">
        <v>30</v>
      </c>
      <c r="C29" s="52" t="s">
        <v>32</v>
      </c>
      <c r="D29" s="52" t="s">
        <v>30</v>
      </c>
      <c r="E29" s="52" t="s">
        <v>32</v>
      </c>
      <c r="F29" s="52" t="s">
        <v>30</v>
      </c>
      <c r="G29" s="52" t="s">
        <v>32</v>
      </c>
      <c r="H29" s="53" t="s">
        <v>34</v>
      </c>
      <c r="I29" s="52" t="s">
        <v>30</v>
      </c>
      <c r="J29" s="52" t="s">
        <v>32</v>
      </c>
      <c r="K29" s="53" t="s">
        <v>28</v>
      </c>
      <c r="L29" s="52" t="s">
        <v>30</v>
      </c>
      <c r="M29" s="53" t="s">
        <v>28</v>
      </c>
    </row>
    <row r="30" spans="1:13" x14ac:dyDescent="0.25">
      <c r="A30" s="17" t="s">
        <v>25</v>
      </c>
      <c r="B30" s="4">
        <f>BETONG!B30+TØMRERE!B28+TAKTEKKERE!B26</f>
        <v>1880451</v>
      </c>
      <c r="C30" s="4">
        <f>BETONG!C30+TØMRERE!C28+MALERE!C26+TAKTEKKERE!C26+MURERE!C27</f>
        <v>0</v>
      </c>
      <c r="D30" s="4">
        <f>BETONG!D30+TØMRERE!D28+MALERE!D26+TAKTEKKERE!D26+MURERE!D27</f>
        <v>5921</v>
      </c>
      <c r="E30" s="4">
        <f>BETONG!E30+TØMRERE!E28+MALERE!E26+TAKTEKKERE!E26+MURERE!E27</f>
        <v>0</v>
      </c>
      <c r="F30" s="6">
        <f t="shared" ref="F30:G45" si="7">IF(D30=0,0,B30/D30)</f>
        <v>317.590103023138</v>
      </c>
      <c r="G30" s="6">
        <f t="shared" si="7"/>
        <v>0</v>
      </c>
      <c r="H30" s="6">
        <f t="shared" ref="H30:H45" si="8">IF(D30+E30=0,0,(B30+C30)/(D30+E30))</f>
        <v>317.590103023138</v>
      </c>
      <c r="I30" s="4">
        <v>10547945</v>
      </c>
      <c r="J30" s="54">
        <v>489063</v>
      </c>
      <c r="K30" s="6">
        <v>270.45</v>
      </c>
      <c r="L30" s="7">
        <f>IF(I30=0,0,(B30-I30)/I30)</f>
        <v>-0.82172347315045724</v>
      </c>
      <c r="M30" s="7">
        <f>(H30-K30)/K30</f>
        <v>0.17430247004303204</v>
      </c>
    </row>
    <row r="31" spans="1:13" x14ac:dyDescent="0.25">
      <c r="A31" s="17" t="s">
        <v>7</v>
      </c>
      <c r="B31" s="4">
        <f>BETONG!B31+TØMRERE!B29+MALERE!B27+RØRLEGGERE!B21+MURERE!B28+TAKTEKKERE!B30</f>
        <v>35095938.487999998</v>
      </c>
      <c r="C31" s="4">
        <f>BETONG!C31+TØMRERE!C29+MALERE!C27+RØRLEGGERE!C21+MURERE!C28+TAKTEKKERE!C30</f>
        <v>0</v>
      </c>
      <c r="D31" s="4">
        <f>BETONG!D31+TØMRERE!D29+MALERE!D27+RØRLEGGERE!D21+MURERE!D28+TAKTEKKERE!D30</f>
        <v>127593.5</v>
      </c>
      <c r="E31" s="4">
        <f>BETONG!E31+TØMRERE!E29+MALERE!E27+RØRLEGGERE!E21+MURERE!E28+TAKTEKKERE!E30</f>
        <v>0</v>
      </c>
      <c r="F31" s="6">
        <f t="shared" si="7"/>
        <v>275.06055157982183</v>
      </c>
      <c r="G31" s="6">
        <f t="shared" si="7"/>
        <v>0</v>
      </c>
      <c r="H31" s="6">
        <f t="shared" si="8"/>
        <v>275.06055157982183</v>
      </c>
      <c r="I31" s="4">
        <v>26273018</v>
      </c>
      <c r="J31" s="54">
        <v>0</v>
      </c>
      <c r="K31" s="6">
        <v>268.27999999999997</v>
      </c>
      <c r="L31" s="7">
        <f>IF(I31=0,0,(B31-I31)/I31)</f>
        <v>0.33581678694088352</v>
      </c>
      <c r="M31" s="7">
        <f t="shared" ref="M31:M45" si="9">(H31-K31)/K31</f>
        <v>2.5274159757797305E-2</v>
      </c>
    </row>
    <row r="32" spans="1:13" x14ac:dyDescent="0.25">
      <c r="A32" s="17" t="s">
        <v>26</v>
      </c>
      <c r="B32" s="4">
        <f>BETONG!B32+TØMRERE!B30</f>
        <v>0</v>
      </c>
      <c r="C32" s="4">
        <f>BETONG!C32+TØMRERE!C30</f>
        <v>0</v>
      </c>
      <c r="D32" s="4">
        <f>BETONG!D32+TØMRERE!D30</f>
        <v>0</v>
      </c>
      <c r="E32" s="4">
        <f>BETONG!E32+TØMRERE!E30</f>
        <v>0</v>
      </c>
      <c r="F32" s="6">
        <f t="shared" si="7"/>
        <v>0</v>
      </c>
      <c r="G32" s="6">
        <f t="shared" si="7"/>
        <v>0</v>
      </c>
      <c r="H32" s="6">
        <f t="shared" si="8"/>
        <v>0</v>
      </c>
      <c r="I32" s="4">
        <v>4188998.73</v>
      </c>
      <c r="J32" s="54">
        <v>0</v>
      </c>
      <c r="K32" s="6">
        <v>360.74</v>
      </c>
      <c r="L32" s="7">
        <f>IF(I32=0,0,(B32-I32)/I32)</f>
        <v>-1</v>
      </c>
      <c r="M32" s="7">
        <f t="shared" si="9"/>
        <v>-1</v>
      </c>
    </row>
    <row r="33" spans="1:16" x14ac:dyDescent="0.25">
      <c r="A33" s="17"/>
      <c r="B33" s="4">
        <f>BETONG!B33+TØMRERE!B31+TAKTEKKERE!B28+MURERE!B29+MALERE!B28</f>
        <v>0</v>
      </c>
      <c r="C33" s="4">
        <f>BETONG!C33+TØMRERE!C31+TAKTEKKERE!C28+MURERE!C29+MALERE!C28</f>
        <v>0</v>
      </c>
      <c r="D33" s="4">
        <f>BETONG!D33+TØMRERE!D31+TAKTEKKERE!D28+MURERE!D29+MALERE!D28</f>
        <v>0</v>
      </c>
      <c r="E33" s="4">
        <f>BETONG!E33+TØMRERE!E31+TAKTEKKERE!E28+MURERE!E29+MALERE!E28</f>
        <v>0</v>
      </c>
      <c r="F33" s="6">
        <f t="shared" si="7"/>
        <v>0</v>
      </c>
      <c r="G33" s="6">
        <f t="shared" si="7"/>
        <v>0</v>
      </c>
      <c r="H33" s="6">
        <f t="shared" si="8"/>
        <v>0</v>
      </c>
      <c r="I33" s="4"/>
      <c r="J33" s="54">
        <v>0</v>
      </c>
      <c r="K33" s="6"/>
      <c r="L33" s="7">
        <f t="shared" ref="L33:L45" si="10">IF(I33=0,0,(B33-I33)/I33)</f>
        <v>0</v>
      </c>
      <c r="M33" s="7"/>
    </row>
    <row r="34" spans="1:16" x14ac:dyDescent="0.25">
      <c r="A34" s="17" t="s">
        <v>9</v>
      </c>
      <c r="B34" s="4">
        <f>BETONG!B34+TAKTEKKERE!B27</f>
        <v>7435876</v>
      </c>
      <c r="C34" s="4">
        <f>BETONG!C34+TAKTEKKERE!C27</f>
        <v>0</v>
      </c>
      <c r="D34" s="4">
        <f>BETONG!D34+TAKTEKKERE!D27</f>
        <v>28933.01</v>
      </c>
      <c r="E34" s="4">
        <f>BETONG!E34+TAKTEKKERE!E27</f>
        <v>0</v>
      </c>
      <c r="F34" s="6">
        <f t="shared" si="7"/>
        <v>257.00319462095371</v>
      </c>
      <c r="G34" s="6">
        <f t="shared" si="7"/>
        <v>0</v>
      </c>
      <c r="H34" s="6">
        <f t="shared" si="8"/>
        <v>257.00319462095371</v>
      </c>
      <c r="I34" s="4">
        <v>10138026</v>
      </c>
      <c r="J34" s="54">
        <v>0</v>
      </c>
      <c r="K34" s="6">
        <v>256.42</v>
      </c>
      <c r="L34" s="7">
        <f t="shared" si="10"/>
        <v>-0.26653610870597488</v>
      </c>
      <c r="M34" s="7">
        <f t="shared" si="9"/>
        <v>2.2743725955607632E-3</v>
      </c>
    </row>
    <row r="35" spans="1:16" x14ac:dyDescent="0.25">
      <c r="A35" s="17" t="s">
        <v>10</v>
      </c>
      <c r="B35" s="4">
        <f>BETONG!B35+TØMRERE!B32+MALERE!B29+TAKTEKKERE!B29+MURERE!B30</f>
        <v>14136730.76</v>
      </c>
      <c r="C35" s="4">
        <f>BETONG!C35+TØMRERE!C32+MALERE!C29+TAKTEKKERE!C29+MURERE!C30</f>
        <v>9457</v>
      </c>
      <c r="D35" s="4">
        <f>BETONG!D35+TØMRERE!D32+MALERE!D29+TAKTEKKERE!D29+MURERE!D30</f>
        <v>51154.450000000004</v>
      </c>
      <c r="E35" s="4">
        <f>BETONG!E35+TØMRERE!E32+MALERE!E29+TAKTEKKERE!E29+MURERE!E30</f>
        <v>162.18</v>
      </c>
      <c r="F35" s="6">
        <f t="shared" si="7"/>
        <v>276.35388045419313</v>
      </c>
      <c r="G35" s="6">
        <f t="shared" si="7"/>
        <v>58.311752373905534</v>
      </c>
      <c r="H35" s="6">
        <f t="shared" si="8"/>
        <v>275.66478469065481</v>
      </c>
      <c r="I35" s="4">
        <v>14044133</v>
      </c>
      <c r="J35" s="54">
        <v>385742</v>
      </c>
      <c r="K35" s="6">
        <v>267.06</v>
      </c>
      <c r="L35" s="7">
        <f t="shared" si="10"/>
        <v>6.5933411482218072E-3</v>
      </c>
      <c r="M35" s="7">
        <f t="shared" si="9"/>
        <v>3.2220417474181119E-2</v>
      </c>
    </row>
    <row r="36" spans="1:16" x14ac:dyDescent="0.25">
      <c r="A36" s="17" t="s">
        <v>11</v>
      </c>
      <c r="B36" s="4">
        <f>BETONG!B36+TØMRERE!B33+MALERE!B30+RØRLEGGERE!B22+MURERE!B31+TAKTEKKERE!B31+'BLIKK OG VENTILASJON'!B18</f>
        <v>0</v>
      </c>
      <c r="C36" s="4">
        <f>BETONG!C36+TØMRERE!C33+MALERE!C30+RØRLEGGERE!C22+MURERE!C31+TAKTEKKERE!C31+'BLIKK OG VENTILASJON'!C18</f>
        <v>0</v>
      </c>
      <c r="D36" s="4">
        <f>BETONG!D36+TØMRERE!D33+MALERE!D30+RØRLEGGERE!D22+MURERE!D31+TAKTEKKERE!D31+'BLIKK OG VENTILASJON'!D18</f>
        <v>0</v>
      </c>
      <c r="E36" s="4">
        <f>BETONG!E36+TØMRERE!E33+MALERE!E30+RØRLEGGERE!E22+MURERE!E31+TAKTEKKERE!E31+'BLIKK OG VENTILASJON'!E18</f>
        <v>0</v>
      </c>
      <c r="F36" s="6">
        <f t="shared" si="7"/>
        <v>0</v>
      </c>
      <c r="G36" s="6">
        <f t="shared" si="7"/>
        <v>0</v>
      </c>
      <c r="H36" s="6">
        <f t="shared" si="8"/>
        <v>0</v>
      </c>
      <c r="I36" s="4">
        <v>485125</v>
      </c>
      <c r="J36" s="54">
        <v>0</v>
      </c>
      <c r="K36" s="6">
        <v>242.44</v>
      </c>
      <c r="L36" s="7">
        <f t="shared" si="10"/>
        <v>-1</v>
      </c>
      <c r="M36" s="7">
        <f t="shared" si="9"/>
        <v>-1</v>
      </c>
    </row>
    <row r="37" spans="1:16" x14ac:dyDescent="0.25">
      <c r="A37" s="17" t="s">
        <v>12</v>
      </c>
      <c r="B37" s="4">
        <f>BETONG!B37+MALERE!B31</f>
        <v>35988200.619999997</v>
      </c>
      <c r="C37" s="4">
        <f>BETONG!C37++MALERE!C31</f>
        <v>0</v>
      </c>
      <c r="D37" s="4">
        <f>BETONG!D37++MALERE!D31</f>
        <v>122736.61</v>
      </c>
      <c r="E37" s="4">
        <f>BETONG!E37++MALERE!E31</f>
        <v>0</v>
      </c>
      <c r="F37" s="6">
        <f t="shared" si="7"/>
        <v>293.21488201442094</v>
      </c>
      <c r="G37" s="6">
        <f t="shared" si="7"/>
        <v>0</v>
      </c>
      <c r="H37" s="6">
        <f t="shared" si="8"/>
        <v>293.21488201442094</v>
      </c>
      <c r="I37" s="4">
        <v>33858607</v>
      </c>
      <c r="J37" s="54">
        <v>0</v>
      </c>
      <c r="K37" s="6">
        <v>315.36</v>
      </c>
      <c r="L37" s="7">
        <f t="shared" si="10"/>
        <v>6.2896669671023309E-2</v>
      </c>
      <c r="M37" s="7">
        <f t="shared" si="9"/>
        <v>-7.0221708477863631E-2</v>
      </c>
    </row>
    <row r="38" spans="1:16" x14ac:dyDescent="0.25">
      <c r="A38" s="17" t="s">
        <v>13</v>
      </c>
      <c r="B38" s="4">
        <f>BETONG!B38+TØMRERE!B34+RØRLEGGERE!B23+TAKTEKKERE!B32+MURERE!B32</f>
        <v>5333804.7</v>
      </c>
      <c r="C38" s="4">
        <f>BETONG!C38+TØMRERE!C34+RØRLEGGERE!C23+'BLIKK OG VENTILASJON'!C19+TAKTEKKERE!C32+MURERE!C32</f>
        <v>109573.18</v>
      </c>
      <c r="D38" s="4">
        <f>BETONG!D38+TØMRERE!D34+RØRLEGGERE!D23+'BLIKK OG VENTILASJON'!D19+TAKTEKKERE!D32+MURERE!D32</f>
        <v>17025.2</v>
      </c>
      <c r="E38" s="4">
        <f>BETONG!E38+TØMRERE!E34+RØRLEGGERE!E23+'BLIKK OG VENTILASJON'!E19+TAKTEKKERE!E32+MURERE!E32</f>
        <v>538.20000000000005</v>
      </c>
      <c r="F38" s="6">
        <f t="shared" si="7"/>
        <v>313.28881305359113</v>
      </c>
      <c r="G38" s="6">
        <f t="shared" si="7"/>
        <v>203.5919360832404</v>
      </c>
      <c r="H38" s="6">
        <f t="shared" si="8"/>
        <v>309.92734208638416</v>
      </c>
      <c r="I38" s="4">
        <v>5573604</v>
      </c>
      <c r="J38" s="54">
        <v>262724</v>
      </c>
      <c r="K38" s="6">
        <v>321.74</v>
      </c>
      <c r="L38" s="7">
        <f t="shared" si="10"/>
        <v>-4.3024100743432762E-2</v>
      </c>
      <c r="M38" s="7">
        <f t="shared" si="9"/>
        <v>-3.6714918610107075E-2</v>
      </c>
    </row>
    <row r="39" spans="1:16" x14ac:dyDescent="0.25">
      <c r="A39" s="17" t="s">
        <v>14</v>
      </c>
      <c r="B39" s="4">
        <f>BETONG!B39+TØMRERE!B35+MALERE!B32+TAKTEKKERE!B33+MURERE!B34</f>
        <v>9616986</v>
      </c>
      <c r="C39" s="4">
        <f>BETONG!C39+TØMRERE!C56+MALERE!C32+TAKTEKKERE!C33+MURERE!C34</f>
        <v>2613000</v>
      </c>
      <c r="D39" s="4">
        <f>BETONG!D39+TØMRERE!D35+MALERE!D32+TAKTEKKERE!D33+MURERE!D34</f>
        <v>32540.5</v>
      </c>
      <c r="E39" s="4">
        <f>BETONG!E39+TØMRERE!E35+MALERE!E32+TAKTEKKERE!E33+MURERE!E34</f>
        <v>12226</v>
      </c>
      <c r="F39" s="6">
        <f>IF(D39=0,0,B39/D39)</f>
        <v>295.53897450868919</v>
      </c>
      <c r="G39" s="6">
        <f t="shared" si="7"/>
        <v>213.7248486831343</v>
      </c>
      <c r="H39" s="6">
        <f t="shared" si="8"/>
        <v>273.19504540225392</v>
      </c>
      <c r="I39" s="4">
        <v>11346916</v>
      </c>
      <c r="J39" s="54"/>
      <c r="K39" s="6">
        <v>248.52</v>
      </c>
      <c r="L39" s="7">
        <f t="shared" si="10"/>
        <v>-0.15245816572538301</v>
      </c>
      <c r="M39" s="7">
        <f t="shared" si="9"/>
        <v>9.9287966369925609E-2</v>
      </c>
    </row>
    <row r="40" spans="1:16" x14ac:dyDescent="0.25">
      <c r="A40" s="17"/>
      <c r="B40" s="4">
        <f>BETONG!B40+MALERE!B33+RØRLEGGERE!B24+TØMRERE!B37+MURERE!B33</f>
        <v>0</v>
      </c>
      <c r="C40" s="4">
        <f>BETONG!C40+MALERE!C33+RØRLEGGERE!C24+TØMRERE!C37+MURERE!C33</f>
        <v>0</v>
      </c>
      <c r="D40" s="4">
        <f>BETONG!D40+MALERE!D33+RØRLEGGERE!D24+TØMRERE!D37+MURERE!D33</f>
        <v>0</v>
      </c>
      <c r="E40" s="4">
        <f>BETONG!E40+MALERE!E33+RØRLEGGERE!E24+TØMRERE!E37+MURERE!E33</f>
        <v>0</v>
      </c>
      <c r="F40" s="6">
        <f t="shared" ref="F40" si="11">IF(D40=0,0,B40/D40)</f>
        <v>0</v>
      </c>
      <c r="G40" s="6">
        <f t="shared" si="7"/>
        <v>0</v>
      </c>
      <c r="H40" s="6">
        <f t="shared" si="8"/>
        <v>0</v>
      </c>
      <c r="I40" s="4"/>
      <c r="J40" s="54">
        <v>0</v>
      </c>
      <c r="K40" s="6"/>
      <c r="L40" s="7">
        <f t="shared" si="10"/>
        <v>0</v>
      </c>
      <c r="M40" s="7"/>
    </row>
    <row r="41" spans="1:16" x14ac:dyDescent="0.25">
      <c r="A41" s="17" t="s">
        <v>16</v>
      </c>
      <c r="B41" s="4">
        <f>BETONG!B41+TØMRERE!B36+MALERE!B34+RØRLEGGERE!B25+TAKTEKKERE!B34+MURERE!B35</f>
        <v>171978620.53999999</v>
      </c>
      <c r="C41" s="4">
        <f>BETONG!C41+TØMRERE!C35+MALERE!C34+RØRLEGGERE!C25+TAKTEKKERE!C33+MURERE!C35</f>
        <v>8927117.6699999999</v>
      </c>
      <c r="D41" s="4">
        <f>BETONG!D41+TØMRERE!D36+MALERE!D34+RØRLEGGERE!D25+TAKTEKKERE!D33+MURERE!D35</f>
        <v>567430</v>
      </c>
      <c r="E41" s="4">
        <f>BETONG!E41+TØMRERE!E36+MALERE!E34+RØRLEGGERE!E25+TAKTEKKERE!E34+MURERE!E35</f>
        <v>49046.98</v>
      </c>
      <c r="F41" s="6">
        <f>IF(B41=0,0,B41/D41)</f>
        <v>303.08341212131893</v>
      </c>
      <c r="G41" s="6">
        <f>IF(E41=0,0,C41/E41)</f>
        <v>182.01156666526663</v>
      </c>
      <c r="H41" s="6">
        <f t="shared" si="8"/>
        <v>293.45092206038248</v>
      </c>
      <c r="I41" s="4">
        <v>145175352</v>
      </c>
      <c r="J41" s="54">
        <v>11017593</v>
      </c>
      <c r="K41" s="6">
        <v>265.57</v>
      </c>
      <c r="L41" s="7">
        <f t="shared" si="10"/>
        <v>0.18462685415083402</v>
      </c>
      <c r="M41" s="7">
        <f t="shared" si="9"/>
        <v>0.10498520940009222</v>
      </c>
    </row>
    <row r="42" spans="1:16" x14ac:dyDescent="0.25">
      <c r="A42" s="17" t="s">
        <v>17</v>
      </c>
      <c r="B42" s="4">
        <f>BETONG!B42+TØMRERE!B38+MALERE!B35+MURERE!B36+TAKTEKKERE!B35</f>
        <v>6581036</v>
      </c>
      <c r="C42" s="4">
        <f>BETONG!C42+TØMRERE!C38+MALERE!C35+MURERE!C36+TAKTEKKERE!C35</f>
        <v>0</v>
      </c>
      <c r="D42" s="4">
        <f>BETONG!D42+TØMRERE!D38+MALERE!D35+MURERE!D36+TAKTEKKERE!D35</f>
        <v>24243</v>
      </c>
      <c r="E42" s="4">
        <f>BETONG!E42+TØMRERE!E38+MALERE!E35+MURERE!E36+TAKTEKKERE!E35</f>
        <v>0</v>
      </c>
      <c r="F42" s="6">
        <f>IF(D42=0,0,B42/D42)</f>
        <v>271.46128779441489</v>
      </c>
      <c r="G42" s="6">
        <f t="shared" si="7"/>
        <v>0</v>
      </c>
      <c r="H42" s="6">
        <f t="shared" si="8"/>
        <v>271.46128779441489</v>
      </c>
      <c r="I42" s="4">
        <v>2656616</v>
      </c>
      <c r="J42" s="54">
        <v>1644948</v>
      </c>
      <c r="K42" s="6">
        <v>233.41</v>
      </c>
      <c r="L42" s="7">
        <f t="shared" si="10"/>
        <v>1.4772251616341994</v>
      </c>
      <c r="M42" s="7">
        <f t="shared" si="9"/>
        <v>0.16302338286455118</v>
      </c>
    </row>
    <row r="43" spans="1:16" x14ac:dyDescent="0.25">
      <c r="A43" s="42" t="s">
        <v>18</v>
      </c>
      <c r="B43" s="4">
        <f>BETONG!B43+TØMRERE!B39+MURERE!B38</f>
        <v>14328905.5</v>
      </c>
      <c r="C43" s="4">
        <f>BETONG!C43+TØMRERE!C39+MALERE!C36+MURERE!C37+TAKTEKKERE!C36</f>
        <v>373988.95</v>
      </c>
      <c r="D43" s="4">
        <f>BETONG!D43+TØMRERE!D39+MALERE!D36+MURERE!D37+TAKTEKKERE!D36</f>
        <v>102295.8</v>
      </c>
      <c r="E43" s="4">
        <f>BETONG!E43+TØMRERE!E39+MALERE!E36+MURERE!E37+TAKTEKKERE!E36</f>
        <v>1961.7</v>
      </c>
      <c r="F43" s="6">
        <f t="shared" si="7"/>
        <v>140.07325325184416</v>
      </c>
      <c r="G43" s="6">
        <f t="shared" si="7"/>
        <v>190.64533312942856</v>
      </c>
      <c r="H43" s="6">
        <f t="shared" si="8"/>
        <v>141.02481308299161</v>
      </c>
      <c r="I43" s="4">
        <v>9240391</v>
      </c>
      <c r="J43" s="54">
        <v>872161</v>
      </c>
      <c r="K43" s="6">
        <v>290.20999999999998</v>
      </c>
      <c r="L43" s="7">
        <f t="shared" si="10"/>
        <v>0.55068172980991825</v>
      </c>
      <c r="M43" s="7">
        <f t="shared" si="9"/>
        <v>-0.51405942909275482</v>
      </c>
      <c r="P43" s="38">
        <f>B44+B21</f>
        <v>172739832.06999999</v>
      </c>
    </row>
    <row r="44" spans="1:16" x14ac:dyDescent="0.25">
      <c r="A44" s="17" t="s">
        <v>19</v>
      </c>
      <c r="B44" s="4">
        <f>BETONG!B44+TØMRERE!B40+MALERE!B36+RØRLEGGERE!B26+TAKTEKKERE!B36+MURERE!B37</f>
        <v>84583827.510000005</v>
      </c>
      <c r="C44" s="4">
        <f>BETONG!C44+TØMRERE!C40+MALERE!C36+RØRLEGGERE!C26+TAKTEKKERE!C36+MURERE!C37</f>
        <v>2111106.7800000003</v>
      </c>
      <c r="D44" s="4">
        <f>BETONG!D44+TØMRERE!D40+MALERE!D36+RØRLEGGERE!D26+'BLIKK OG VENTILASJON'!D20+TAKTEKKERE!D36+MURERE!D38+ISOLATØR!D8</f>
        <v>246051.8</v>
      </c>
      <c r="E44" s="4">
        <f>BETONG!E44+TØMRERE!E40+MALERE!E36+RØRLEGGERE!E26+'BLIKK OG VENTILASJON'!E20+TAKTEKKERE!E36+MURERE!E37+ISOLATØR!E8</f>
        <v>10481.200000000001</v>
      </c>
      <c r="F44" s="6">
        <f t="shared" si="7"/>
        <v>343.76431105157536</v>
      </c>
      <c r="G44" s="6">
        <f t="shared" si="7"/>
        <v>201.41842346296227</v>
      </c>
      <c r="H44" s="6">
        <f t="shared" si="8"/>
        <v>337.94846779946442</v>
      </c>
      <c r="I44" s="4">
        <v>54529579</v>
      </c>
      <c r="J44" s="54">
        <v>6405994</v>
      </c>
      <c r="K44" s="6">
        <v>270.11</v>
      </c>
      <c r="L44" s="7">
        <f t="shared" si="10"/>
        <v>0.5511549705894484</v>
      </c>
      <c r="M44" s="7">
        <f t="shared" si="9"/>
        <v>0.25115126355730777</v>
      </c>
    </row>
    <row r="45" spans="1:16" s="11" customFormat="1" x14ac:dyDescent="0.25">
      <c r="A45" s="18" t="s">
        <v>20</v>
      </c>
      <c r="B45" s="8">
        <f>SUM(B30:B44)</f>
        <v>386960377.11799997</v>
      </c>
      <c r="C45" s="8">
        <f>SUM(C30:C44)</f>
        <v>14144243.579999998</v>
      </c>
      <c r="D45" s="8">
        <f>SUM(D30:D44)</f>
        <v>1325924.8700000001</v>
      </c>
      <c r="E45" s="8">
        <f>SUM(E30:E44)</f>
        <v>74416.259999999995</v>
      </c>
      <c r="F45" s="9">
        <f>IF(D45=0,0,B45/D45)</f>
        <v>291.84185761445138</v>
      </c>
      <c r="G45" s="9">
        <f t="shared" si="7"/>
        <v>190.06926147591938</v>
      </c>
      <c r="H45" s="9">
        <f t="shared" si="8"/>
        <v>286.43350688271215</v>
      </c>
      <c r="I45" s="55">
        <f>SUM(I30:I44)</f>
        <v>328058310.73000002</v>
      </c>
      <c r="J45" s="55">
        <f>SUM(J30:J44)</f>
        <v>21078225</v>
      </c>
      <c r="K45" s="31">
        <v>271.85000000000002</v>
      </c>
      <c r="L45" s="10">
        <f t="shared" si="10"/>
        <v>0.17954755133905992</v>
      </c>
      <c r="M45" s="10">
        <f t="shared" si="9"/>
        <v>5.3645417997837515E-2</v>
      </c>
    </row>
    <row r="48" spans="1:16" ht="20.25" x14ac:dyDescent="0.3">
      <c r="A48" s="20" t="str">
        <f>"MÅLESTATISTIKK FOR ALLE BYGGFAG - GJENNOMSNITT HELE ÅRET  "&amp;FORS!$A$14</f>
        <v>MÅLESTATISTIKK FOR ALLE BYGGFAG - GJENNOMSNITT HELE ÅRET  2017</v>
      </c>
    </row>
    <row r="49" spans="1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5"/>
      <c r="B50" s="2" t="s">
        <v>4</v>
      </c>
      <c r="C50" s="3"/>
      <c r="D50" s="2" t="s">
        <v>5</v>
      </c>
      <c r="E50" s="3"/>
      <c r="F50" s="2" t="str">
        <f>"Fortjeneste hele  "&amp;FORS!$A$14-0</f>
        <v>Fortjeneste hele  2017</v>
      </c>
      <c r="G50" s="5"/>
      <c r="H50" s="3"/>
      <c r="I50" s="2" t="str">
        <f>" Hele året  "&amp;FORS!$A$14-1</f>
        <v xml:space="preserve"> Hele året  2016</v>
      </c>
      <c r="J50" s="5"/>
      <c r="K50" s="3"/>
      <c r="L50" s="46" t="s">
        <v>29</v>
      </c>
      <c r="M50" s="3"/>
    </row>
    <row r="51" spans="1:13" x14ac:dyDescent="0.25">
      <c r="A51" s="47"/>
      <c r="B51" s="48" t="s">
        <v>6</v>
      </c>
      <c r="C51" s="48" t="s">
        <v>6</v>
      </c>
      <c r="D51" s="48" t="s">
        <v>6</v>
      </c>
      <c r="E51" s="48" t="s">
        <v>6</v>
      </c>
      <c r="F51" s="48" t="s">
        <v>6</v>
      </c>
      <c r="G51" s="48" t="s">
        <v>6</v>
      </c>
      <c r="H51" s="49" t="s">
        <v>33</v>
      </c>
      <c r="I51" s="48" t="s">
        <v>6</v>
      </c>
      <c r="J51" s="48" t="s">
        <v>6</v>
      </c>
      <c r="K51" s="49" t="s">
        <v>31</v>
      </c>
      <c r="L51" s="48" t="s">
        <v>6</v>
      </c>
      <c r="M51" s="49" t="s">
        <v>31</v>
      </c>
    </row>
    <row r="52" spans="1:13" x14ac:dyDescent="0.25">
      <c r="A52" s="51"/>
      <c r="B52" s="52" t="s">
        <v>30</v>
      </c>
      <c r="C52" s="52" t="s">
        <v>32</v>
      </c>
      <c r="D52" s="52" t="s">
        <v>30</v>
      </c>
      <c r="E52" s="52" t="s">
        <v>32</v>
      </c>
      <c r="F52" s="52" t="s">
        <v>30</v>
      </c>
      <c r="G52" s="52" t="s">
        <v>32</v>
      </c>
      <c r="H52" s="53" t="s">
        <v>34</v>
      </c>
      <c r="I52" s="52" t="s">
        <v>30</v>
      </c>
      <c r="J52" s="52" t="s">
        <v>32</v>
      </c>
      <c r="K52" s="53" t="s">
        <v>28</v>
      </c>
      <c r="L52" s="52" t="s">
        <v>30</v>
      </c>
      <c r="M52" s="53" t="s">
        <v>28</v>
      </c>
    </row>
    <row r="53" spans="1:13" x14ac:dyDescent="0.25">
      <c r="A53" s="17" t="s">
        <v>25</v>
      </c>
      <c r="B53" s="4">
        <f>B7+B30</f>
        <v>7067285</v>
      </c>
      <c r="C53" s="4">
        <f t="shared" ref="B53:E53" si="12">C7+C30</f>
        <v>0</v>
      </c>
      <c r="D53" s="4">
        <f t="shared" si="12"/>
        <v>24120</v>
      </c>
      <c r="E53" s="4">
        <f t="shared" si="12"/>
        <v>0</v>
      </c>
      <c r="F53" s="6">
        <f t="shared" ref="F53:G68" si="13">IF(D53=0,0,B53/D53)</f>
        <v>293.00518242122718</v>
      </c>
      <c r="G53" s="6">
        <f t="shared" si="13"/>
        <v>0</v>
      </c>
      <c r="H53" s="6">
        <f t="shared" ref="H53:H66" si="14">IF(D53+E53=0,0,(B53+C53)/(D53+E53))</f>
        <v>293.00518242122718</v>
      </c>
      <c r="I53" s="54">
        <v>21303347</v>
      </c>
      <c r="J53" s="54">
        <v>489063</v>
      </c>
      <c r="K53" s="6">
        <v>268</v>
      </c>
      <c r="L53" s="7">
        <f>IF(I53=0,0,(B53-I53)/I53)</f>
        <v>-0.66825471133714343</v>
      </c>
      <c r="M53" s="7">
        <f>(H53-K53)/K53</f>
        <v>9.3302919482190952E-2</v>
      </c>
    </row>
    <row r="54" spans="1:13" x14ac:dyDescent="0.25">
      <c r="A54" s="17" t="s">
        <v>7</v>
      </c>
      <c r="B54" s="4">
        <f t="shared" ref="B54:E54" si="15">B8+B31</f>
        <v>58382333.388999999</v>
      </c>
      <c r="C54" s="4">
        <f t="shared" si="15"/>
        <v>0</v>
      </c>
      <c r="D54" s="4">
        <f t="shared" si="15"/>
        <v>212279.02</v>
      </c>
      <c r="E54" s="4">
        <f t="shared" si="15"/>
        <v>0</v>
      </c>
      <c r="F54" s="6">
        <f t="shared" si="13"/>
        <v>275.02639398372952</v>
      </c>
      <c r="G54" s="6">
        <f t="shared" si="13"/>
        <v>0</v>
      </c>
      <c r="H54" s="6">
        <f t="shared" si="14"/>
        <v>275.02639398372952</v>
      </c>
      <c r="I54" s="54">
        <v>75439489</v>
      </c>
      <c r="J54" s="54">
        <v>0</v>
      </c>
      <c r="K54" s="6">
        <v>271.39</v>
      </c>
      <c r="L54" s="7">
        <f t="shared" ref="L54:L68" si="16">IF(I54=0,0,(B54-I54)/I54)</f>
        <v>-0.22610380633675822</v>
      </c>
      <c r="M54" s="7">
        <f t="shared" ref="M54:M67" si="17">(H54-K54)/K54</f>
        <v>1.3399145081725685E-2</v>
      </c>
    </row>
    <row r="55" spans="1:13" x14ac:dyDescent="0.25">
      <c r="A55" s="17" t="s">
        <v>26</v>
      </c>
      <c r="B55" s="4">
        <f t="shared" ref="B55:E55" si="18">B9+B32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6">
        <f t="shared" si="13"/>
        <v>0</v>
      </c>
      <c r="G55" s="6">
        <f t="shared" si="13"/>
        <v>0</v>
      </c>
      <c r="H55" s="6">
        <f t="shared" si="14"/>
        <v>0</v>
      </c>
      <c r="I55" s="54">
        <v>4188999</v>
      </c>
      <c r="J55" s="54">
        <v>0</v>
      </c>
      <c r="K55" s="6">
        <v>360.74</v>
      </c>
      <c r="L55" s="7">
        <f t="shared" si="16"/>
        <v>-1</v>
      </c>
      <c r="M55" s="7">
        <f t="shared" si="17"/>
        <v>-1</v>
      </c>
    </row>
    <row r="56" spans="1:13" x14ac:dyDescent="0.25">
      <c r="A56" s="17"/>
      <c r="B56" s="4">
        <f t="shared" ref="B56:E56" si="19">B10+B33</f>
        <v>0</v>
      </c>
      <c r="C56" s="4">
        <f t="shared" si="19"/>
        <v>0</v>
      </c>
      <c r="D56" s="4">
        <f t="shared" si="19"/>
        <v>0</v>
      </c>
      <c r="E56" s="4">
        <f t="shared" si="19"/>
        <v>0</v>
      </c>
      <c r="F56" s="6">
        <f t="shared" si="13"/>
        <v>0</v>
      </c>
      <c r="G56" s="6">
        <f t="shared" si="13"/>
        <v>0</v>
      </c>
      <c r="H56" s="6">
        <f t="shared" si="14"/>
        <v>0</v>
      </c>
      <c r="I56" s="54"/>
      <c r="J56" s="54">
        <v>0</v>
      </c>
      <c r="K56" s="6"/>
      <c r="L56" s="7">
        <f t="shared" si="16"/>
        <v>0</v>
      </c>
      <c r="M56" s="7"/>
    </row>
    <row r="57" spans="1:13" x14ac:dyDescent="0.25">
      <c r="A57" s="17" t="s">
        <v>9</v>
      </c>
      <c r="B57" s="4">
        <f>B11+B34</f>
        <v>16932937</v>
      </c>
      <c r="C57" s="4">
        <f t="shared" ref="B57:E57" si="20">C11+C34</f>
        <v>0</v>
      </c>
      <c r="D57" s="4">
        <f t="shared" si="20"/>
        <v>64665.899999999994</v>
      </c>
      <c r="E57" s="4">
        <f t="shared" si="20"/>
        <v>0</v>
      </c>
      <c r="F57" s="6">
        <f t="shared" si="13"/>
        <v>261.85264567569618</v>
      </c>
      <c r="G57" s="6">
        <f t="shared" si="13"/>
        <v>0</v>
      </c>
      <c r="H57" s="6">
        <f t="shared" si="14"/>
        <v>261.85264567569618</v>
      </c>
      <c r="I57" s="54">
        <v>16927742</v>
      </c>
      <c r="J57" s="54">
        <v>0</v>
      </c>
      <c r="K57" s="6">
        <v>255.65</v>
      </c>
      <c r="L57" s="7">
        <f t="shared" si="16"/>
        <v>3.0689267357690114E-4</v>
      </c>
      <c r="M57" s="7">
        <f t="shared" si="17"/>
        <v>2.4262255723435065E-2</v>
      </c>
    </row>
    <row r="58" spans="1:13" x14ac:dyDescent="0.25">
      <c r="A58" s="17" t="s">
        <v>10</v>
      </c>
      <c r="B58" s="4">
        <f>B12+B35</f>
        <v>26878652.009999998</v>
      </c>
      <c r="C58" s="4">
        <f t="shared" ref="B58:E58" si="21">C12+C35</f>
        <v>870584</v>
      </c>
      <c r="D58" s="4">
        <f t="shared" si="21"/>
        <v>94920.5</v>
      </c>
      <c r="E58" s="4">
        <f t="shared" si="21"/>
        <v>4547.18</v>
      </c>
      <c r="F58" s="6">
        <f t="shared" si="13"/>
        <v>283.17014775522671</v>
      </c>
      <c r="G58" s="6">
        <f t="shared" si="13"/>
        <v>191.45580337703805</v>
      </c>
      <c r="H58" s="6">
        <f t="shared" si="14"/>
        <v>278.97741266308816</v>
      </c>
      <c r="I58" s="54">
        <v>23599667</v>
      </c>
      <c r="J58" s="54">
        <v>1209402</v>
      </c>
      <c r="K58" s="6">
        <v>265.76</v>
      </c>
      <c r="L58" s="7">
        <f t="shared" si="16"/>
        <v>0.13894200329182602</v>
      </c>
      <c r="M58" s="7">
        <f t="shared" si="17"/>
        <v>4.9734394427634589E-2</v>
      </c>
    </row>
    <row r="59" spans="1:13" x14ac:dyDescent="0.25">
      <c r="A59" s="17" t="s">
        <v>11</v>
      </c>
      <c r="B59" s="4">
        <f t="shared" ref="B59:E67" si="22">B13+B36</f>
        <v>0</v>
      </c>
      <c r="C59" s="4">
        <f t="shared" si="22"/>
        <v>0</v>
      </c>
      <c r="D59" s="4">
        <f t="shared" si="22"/>
        <v>0</v>
      </c>
      <c r="E59" s="4">
        <f t="shared" si="22"/>
        <v>0</v>
      </c>
      <c r="F59" s="6">
        <f t="shared" si="13"/>
        <v>0</v>
      </c>
      <c r="G59" s="6">
        <f t="shared" si="13"/>
        <v>0</v>
      </c>
      <c r="H59" s="6">
        <f t="shared" si="14"/>
        <v>0</v>
      </c>
      <c r="I59" s="54">
        <v>7855496</v>
      </c>
      <c r="J59" s="54">
        <v>675503</v>
      </c>
      <c r="K59" s="6">
        <v>302.11</v>
      </c>
      <c r="L59" s="7">
        <f t="shared" si="16"/>
        <v>-1</v>
      </c>
      <c r="M59" s="7">
        <f t="shared" si="17"/>
        <v>-1</v>
      </c>
    </row>
    <row r="60" spans="1:13" x14ac:dyDescent="0.25">
      <c r="A60" s="17" t="s">
        <v>12</v>
      </c>
      <c r="B60" s="4">
        <f>B14+B37</f>
        <v>61842294.899999999</v>
      </c>
      <c r="C60" s="4">
        <f t="shared" si="22"/>
        <v>0</v>
      </c>
      <c r="D60" s="4">
        <f t="shared" si="22"/>
        <v>210576.4</v>
      </c>
      <c r="E60" s="4">
        <f t="shared" si="22"/>
        <v>0</v>
      </c>
      <c r="F60" s="6">
        <f t="shared" si="13"/>
        <v>293.68103405699782</v>
      </c>
      <c r="G60" s="6">
        <f t="shared" si="13"/>
        <v>0</v>
      </c>
      <c r="H60" s="6">
        <f t="shared" si="14"/>
        <v>293.68103405699782</v>
      </c>
      <c r="I60" s="54">
        <v>74597382</v>
      </c>
      <c r="J60" s="54">
        <v>0</v>
      </c>
      <c r="K60" s="6">
        <v>318.52999999999997</v>
      </c>
      <c r="L60" s="7">
        <f t="shared" si="16"/>
        <v>-0.17098572038359203</v>
      </c>
      <c r="M60" s="7">
        <f t="shared" si="17"/>
        <v>-7.8011383364211095E-2</v>
      </c>
    </row>
    <row r="61" spans="1:13" x14ac:dyDescent="0.25">
      <c r="A61" s="17" t="s">
        <v>13</v>
      </c>
      <c r="B61" s="4">
        <f>B15+B38</f>
        <v>10856889.720000001</v>
      </c>
      <c r="C61" s="4">
        <f t="shared" si="22"/>
        <v>190668.18</v>
      </c>
      <c r="D61" s="4">
        <f t="shared" si="22"/>
        <v>34853.600000000006</v>
      </c>
      <c r="E61" s="4">
        <f t="shared" si="22"/>
        <v>1098.4000000000001</v>
      </c>
      <c r="F61" s="6">
        <f t="shared" si="13"/>
        <v>311.49980834117565</v>
      </c>
      <c r="G61" s="6">
        <f t="shared" si="13"/>
        <v>173.58719956300069</v>
      </c>
      <c r="H61" s="6">
        <f t="shared" si="14"/>
        <v>307.28632343124161</v>
      </c>
      <c r="I61" s="54">
        <v>12931392</v>
      </c>
      <c r="J61" s="54">
        <v>467693</v>
      </c>
      <c r="K61" s="6">
        <v>294.10000000000002</v>
      </c>
      <c r="L61" s="7">
        <f t="shared" si="16"/>
        <v>-0.16042374092441086</v>
      </c>
      <c r="M61" s="7">
        <f t="shared" si="17"/>
        <v>4.4836189837611659E-2</v>
      </c>
    </row>
    <row r="62" spans="1:13" x14ac:dyDescent="0.25">
      <c r="A62" s="17" t="s">
        <v>14</v>
      </c>
      <c r="B62" s="4">
        <f>B16+B39</f>
        <v>28859472</v>
      </c>
      <c r="C62" s="4">
        <f t="shared" si="22"/>
        <v>2960493</v>
      </c>
      <c r="D62" s="4">
        <f t="shared" si="22"/>
        <v>97214.5</v>
      </c>
      <c r="E62" s="4">
        <f t="shared" si="22"/>
        <v>12226</v>
      </c>
      <c r="F62" s="6">
        <f t="shared" si="13"/>
        <v>296.86386290111045</v>
      </c>
      <c r="G62" s="6">
        <f t="shared" si="13"/>
        <v>242.14730901357763</v>
      </c>
      <c r="H62" s="6">
        <f t="shared" si="14"/>
        <v>290.75127580740218</v>
      </c>
      <c r="I62" s="54">
        <v>23005099</v>
      </c>
      <c r="J62" s="54">
        <v>424120</v>
      </c>
      <c r="K62" s="6">
        <v>256.02</v>
      </c>
      <c r="L62" s="7">
        <f t="shared" si="16"/>
        <v>0.25448153907096854</v>
      </c>
      <c r="M62" s="7">
        <f t="shared" si="17"/>
        <v>0.13565844780642997</v>
      </c>
    </row>
    <row r="63" spans="1:13" x14ac:dyDescent="0.25">
      <c r="A63" s="17" t="s">
        <v>15</v>
      </c>
      <c r="B63" s="4">
        <f t="shared" si="22"/>
        <v>0</v>
      </c>
      <c r="C63" s="4">
        <f t="shared" si="22"/>
        <v>0</v>
      </c>
      <c r="D63" s="4">
        <f t="shared" si="22"/>
        <v>0</v>
      </c>
      <c r="E63" s="4">
        <f t="shared" si="22"/>
        <v>0</v>
      </c>
      <c r="F63" s="6">
        <f t="shared" si="13"/>
        <v>0</v>
      </c>
      <c r="G63" s="6">
        <f t="shared" si="13"/>
        <v>0</v>
      </c>
      <c r="H63" s="6">
        <f t="shared" si="14"/>
        <v>0</v>
      </c>
      <c r="I63" s="54">
        <v>1444903</v>
      </c>
      <c r="J63" s="54">
        <v>0</v>
      </c>
      <c r="K63" s="6">
        <v>248.55</v>
      </c>
      <c r="L63" s="7">
        <f t="shared" si="16"/>
        <v>-1</v>
      </c>
      <c r="M63" s="7">
        <f t="shared" si="17"/>
        <v>-1</v>
      </c>
    </row>
    <row r="64" spans="1:13" x14ac:dyDescent="0.25">
      <c r="A64" s="17" t="s">
        <v>16</v>
      </c>
      <c r="B64" s="4">
        <f>B18+B41</f>
        <v>347119344.13</v>
      </c>
      <c r="C64" s="4">
        <f t="shared" si="22"/>
        <v>18593794.719999999</v>
      </c>
      <c r="D64" s="4">
        <f t="shared" si="22"/>
        <v>1172699.73</v>
      </c>
      <c r="E64" s="4">
        <f t="shared" si="22"/>
        <v>97554.84</v>
      </c>
      <c r="F64" s="6">
        <f t="shared" si="13"/>
        <v>296.00019105487473</v>
      </c>
      <c r="G64" s="6">
        <f t="shared" si="13"/>
        <v>190.59838261228248</v>
      </c>
      <c r="H64" s="6">
        <f t="shared" si="14"/>
        <v>287.90539116108044</v>
      </c>
      <c r="I64" s="54">
        <v>273703631</v>
      </c>
      <c r="J64" s="54">
        <v>16190480</v>
      </c>
      <c r="K64" s="6">
        <v>270.02999999999997</v>
      </c>
      <c r="L64" s="7">
        <f t="shared" si="16"/>
        <v>0.26823068755708246</v>
      </c>
      <c r="M64" s="7">
        <f t="shared" si="17"/>
        <v>6.6197797137653128E-2</v>
      </c>
    </row>
    <row r="65" spans="1:13" x14ac:dyDescent="0.25">
      <c r="A65" s="17" t="s">
        <v>17</v>
      </c>
      <c r="B65" s="4">
        <f>B19+B42</f>
        <v>9774401.2899999991</v>
      </c>
      <c r="C65" s="4">
        <f t="shared" si="22"/>
        <v>379041</v>
      </c>
      <c r="D65" s="4">
        <f t="shared" si="22"/>
        <v>35923.5</v>
      </c>
      <c r="E65" s="4">
        <f>E19+E42</f>
        <v>1946</v>
      </c>
      <c r="F65" s="6">
        <f t="shared" si="13"/>
        <v>272.08933678511278</v>
      </c>
      <c r="G65" s="6">
        <f>IF(E65=0,0,C65/E65)</f>
        <v>194.77954779033917</v>
      </c>
      <c r="H65" s="6">
        <f t="shared" si="14"/>
        <v>268.1166186508932</v>
      </c>
      <c r="I65" s="54">
        <v>11171399</v>
      </c>
      <c r="J65" s="54">
        <v>2080284</v>
      </c>
      <c r="K65" s="6">
        <v>238.83</v>
      </c>
      <c r="L65" s="7">
        <f t="shared" si="16"/>
        <v>-0.12505127692601445</v>
      </c>
      <c r="M65" s="7">
        <f t="shared" si="17"/>
        <v>0.12262537642211274</v>
      </c>
    </row>
    <row r="66" spans="1:13" x14ac:dyDescent="0.25">
      <c r="A66" s="17" t="s">
        <v>18</v>
      </c>
      <c r="B66" s="4">
        <f>B20+B43</f>
        <v>28058069</v>
      </c>
      <c r="C66" s="4">
        <f t="shared" si="22"/>
        <v>792590.95</v>
      </c>
      <c r="D66" s="4">
        <f t="shared" si="22"/>
        <v>149849.9</v>
      </c>
      <c r="E66" s="4">
        <f t="shared" si="22"/>
        <v>3864.7</v>
      </c>
      <c r="F66" s="6">
        <f t="shared" si="13"/>
        <v>187.24115932009298</v>
      </c>
      <c r="G66" s="6">
        <f t="shared" si="13"/>
        <v>205.0847284394649</v>
      </c>
      <c r="H66" s="6">
        <f t="shared" si="14"/>
        <v>187.68978320862169</v>
      </c>
      <c r="I66" s="54">
        <v>25686303</v>
      </c>
      <c r="J66" s="54">
        <v>3802314</v>
      </c>
      <c r="K66" s="6">
        <v>271.44</v>
      </c>
      <c r="L66" s="7">
        <f t="shared" si="16"/>
        <v>9.233582582904204E-2</v>
      </c>
      <c r="M66" s="7">
        <f t="shared" si="17"/>
        <v>-0.30854043910764184</v>
      </c>
    </row>
    <row r="67" spans="1:13" x14ac:dyDescent="0.25">
      <c r="A67" s="17" t="s">
        <v>19</v>
      </c>
      <c r="B67" s="4">
        <f>B21+B44</f>
        <v>172739832.06999999</v>
      </c>
      <c r="C67" s="4">
        <f t="shared" si="22"/>
        <v>11315833.449999999</v>
      </c>
      <c r="D67" s="4">
        <f t="shared" si="22"/>
        <v>529941.02</v>
      </c>
      <c r="E67" s="4">
        <f t="shared" si="22"/>
        <v>44653.399999999994</v>
      </c>
      <c r="F67" s="6">
        <f t="shared" si="13"/>
        <v>325.96048531966818</v>
      </c>
      <c r="G67" s="6">
        <f t="shared" si="13"/>
        <v>253.4148228354392</v>
      </c>
      <c r="H67" s="6">
        <f>IF(D67+E67=0,0,(B67+C67)/(D67+E67))</f>
        <v>320.32275134172022</v>
      </c>
      <c r="I67" s="54">
        <v>125100601</v>
      </c>
      <c r="J67" s="54">
        <v>6694972</v>
      </c>
      <c r="K67" s="6">
        <v>280.95</v>
      </c>
      <c r="L67" s="7">
        <f t="shared" si="16"/>
        <v>0.38080737174076401</v>
      </c>
      <c r="M67" s="7">
        <f t="shared" si="17"/>
        <v>0.1401414890255214</v>
      </c>
    </row>
    <row r="68" spans="1:13" s="11" customFormat="1" x14ac:dyDescent="0.25">
      <c r="A68" s="18" t="s">
        <v>20</v>
      </c>
      <c r="B68" s="8">
        <f>SUM(B53:B67)</f>
        <v>768511510.50899982</v>
      </c>
      <c r="C68" s="8">
        <f>SUM(C53:C67)</f>
        <v>35103005.299999997</v>
      </c>
      <c r="D68" s="8">
        <f>SUM(D53:D67)</f>
        <v>2627044.0699999998</v>
      </c>
      <c r="E68" s="8">
        <f>SUM(E53:E67)</f>
        <v>165890.51999999999</v>
      </c>
      <c r="F68" s="9">
        <f>IF(D68=0,0,B68/D68)</f>
        <v>292.53849194429381</v>
      </c>
      <c r="G68" s="9">
        <f t="shared" si="13"/>
        <v>211.60344364463984</v>
      </c>
      <c r="H68" s="9">
        <f>IF(D68+E68=0,0,(B68+C68)/(D68+E68))</f>
        <v>287.73123390941993</v>
      </c>
      <c r="I68" s="55">
        <f>SUM(I53:I67)</f>
        <v>696955450</v>
      </c>
      <c r="J68" s="55">
        <f>SUM(J53:J67)</f>
        <v>32033831</v>
      </c>
      <c r="K68" s="31">
        <v>275.89999999999998</v>
      </c>
      <c r="L68" s="32">
        <f t="shared" si="16"/>
        <v>0.10266948986337623</v>
      </c>
      <c r="M68" s="32">
        <f>(H68-K68)/K68</f>
        <v>4.288232660173958E-2</v>
      </c>
    </row>
    <row r="70" spans="1:13" x14ac:dyDescent="0.25">
      <c r="B70" s="38"/>
      <c r="I70" s="38"/>
    </row>
    <row r="71" spans="1:13" x14ac:dyDescent="0.25">
      <c r="B71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7" orientation="landscape" r:id="rId1"/>
  <headerFooter alignWithMargins="0">
    <oddFooter>&amp;L&amp;9FORH.AVD./&amp;D/&amp;T/&amp;F</oddFooter>
  </headerFooter>
  <rowBreaks count="2" manualBreakCount="2">
    <brk id="23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3"/>
  <sheetViews>
    <sheetView showZeros="0" topLeftCell="A25" zoomScale="84" zoomScaleNormal="84" workbookViewId="0">
      <selection activeCell="B72" sqref="B72"/>
    </sheetView>
  </sheetViews>
  <sheetFormatPr baseColWidth="10" defaultColWidth="9" defaultRowHeight="15.75" x14ac:dyDescent="0.25"/>
  <cols>
    <col min="1" max="1" width="14.875" style="14" customWidth="1"/>
    <col min="2" max="2" width="15.375" customWidth="1"/>
    <col min="3" max="3" width="11.75" customWidth="1"/>
    <col min="4" max="4" width="12.25" customWidth="1"/>
    <col min="5" max="5" width="10.75" customWidth="1"/>
    <col min="6" max="8" width="10" customWidth="1"/>
    <col min="9" max="9" width="11.875" customWidth="1"/>
    <col min="10" max="10" width="10.375" customWidth="1"/>
    <col min="11" max="11" width="9.25" customWidth="1"/>
    <col min="12" max="13" width="10" customWidth="1"/>
    <col min="16" max="16" width="13.375" bestFit="1" customWidth="1"/>
  </cols>
  <sheetData>
    <row r="2" spans="1:13" ht="20.25" x14ac:dyDescent="0.3">
      <c r="A2" s="20" t="str">
        <f>"MÅLESTATISTIKK FOR BETONGFAGENE - 1. HALVÅR "&amp;FORS!$A$14</f>
        <v>MÅLESTATISTIKK FOR BETONGFAGENE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s="50" customFormat="1" ht="15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s="50" customFormat="1" ht="15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79">
        <v>1596486</v>
      </c>
      <c r="C7" s="128"/>
      <c r="D7" s="81">
        <v>5492</v>
      </c>
      <c r="E7" s="89"/>
      <c r="F7" s="6">
        <f t="shared" ref="F7:F21" si="0">IF(D7=0,0,B7/D7)</f>
        <v>290.69300801165332</v>
      </c>
      <c r="G7" s="6">
        <f t="shared" ref="G7:G21" si="1">IF(E7=0,0,C7/E7)</f>
        <v>0</v>
      </c>
      <c r="H7" s="6">
        <f t="shared" ref="H7:H21" si="2">IF(D7+E7=0,0,(B7+C7)/(D7+E7))</f>
        <v>290.69300801165332</v>
      </c>
      <c r="I7" s="21">
        <v>1955415</v>
      </c>
      <c r="J7" s="21">
        <v>211313</v>
      </c>
      <c r="K7" s="44">
        <v>267.13</v>
      </c>
      <c r="L7" s="7">
        <f>IF(I7=0,0,(B7-I7)/I7)</f>
        <v>-0.18355643175489603</v>
      </c>
      <c r="M7" s="7">
        <f>IF(K7=0,0,(H7-K7)/K7)</f>
        <v>8.8208018611362723E-2</v>
      </c>
    </row>
    <row r="8" spans="1:13" x14ac:dyDescent="0.25">
      <c r="A8" s="17" t="s">
        <v>7</v>
      </c>
      <c r="B8" s="150">
        <v>18628678</v>
      </c>
      <c r="C8" s="77"/>
      <c r="D8" s="77">
        <v>65872.78</v>
      </c>
      <c r="E8" s="21"/>
      <c r="F8" s="6">
        <f t="shared" si="0"/>
        <v>282.79781117481303</v>
      </c>
      <c r="G8" s="6">
        <f t="shared" si="1"/>
        <v>0</v>
      </c>
      <c r="H8" s="6">
        <f t="shared" si="2"/>
        <v>282.79781117481303</v>
      </c>
      <c r="I8" s="21">
        <v>22683267</v>
      </c>
      <c r="J8" s="21"/>
      <c r="K8" s="44">
        <v>280.20999999999998</v>
      </c>
      <c r="L8" s="7">
        <f t="shared" ref="L8:L22" si="3">IF(I8=0,0,(B8-I8)/I8)</f>
        <v>-0.17874801720581079</v>
      </c>
      <c r="M8" s="7">
        <f t="shared" ref="M8:M22" si="4">IF(K8=0,0,(H8-K8)/K8)</f>
        <v>9.2352563249457741E-3</v>
      </c>
    </row>
    <row r="9" spans="1:13" x14ac:dyDescent="0.25">
      <c r="A9" s="17" t="s">
        <v>26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44"/>
      <c r="L9" s="7">
        <f t="shared" si="3"/>
        <v>0</v>
      </c>
      <c r="M9" s="7">
        <f t="shared" si="4"/>
        <v>0</v>
      </c>
    </row>
    <row r="10" spans="1:13" x14ac:dyDescent="0.25">
      <c r="A10" s="17" t="s">
        <v>8</v>
      </c>
      <c r="B10" s="21"/>
      <c r="C10" s="21"/>
      <c r="D10" s="21"/>
      <c r="E10" s="21"/>
      <c r="F10" s="6">
        <f t="shared" si="0"/>
        <v>0</v>
      </c>
      <c r="G10" s="6">
        <f t="shared" si="1"/>
        <v>0</v>
      </c>
      <c r="H10" s="6">
        <f t="shared" si="2"/>
        <v>0</v>
      </c>
      <c r="I10" s="21"/>
      <c r="J10" s="21"/>
      <c r="K10" s="44">
        <v>0</v>
      </c>
      <c r="L10" s="7">
        <f t="shared" si="3"/>
        <v>0</v>
      </c>
      <c r="M10" s="7">
        <f t="shared" si="4"/>
        <v>0</v>
      </c>
    </row>
    <row r="11" spans="1:13" x14ac:dyDescent="0.25">
      <c r="A11" s="17" t="s">
        <v>9</v>
      </c>
      <c r="B11" s="79">
        <v>9497061</v>
      </c>
      <c r="C11" s="59"/>
      <c r="D11" s="81">
        <v>35732.89</v>
      </c>
      <c r="E11" s="21"/>
      <c r="F11" s="6">
        <f t="shared" si="0"/>
        <v>265.77925826878266</v>
      </c>
      <c r="G11" s="6">
        <f t="shared" si="1"/>
        <v>0</v>
      </c>
      <c r="H11" s="6">
        <f t="shared" si="2"/>
        <v>265.77925826878266</v>
      </c>
      <c r="I11" s="21">
        <v>7182045</v>
      </c>
      <c r="J11" s="21"/>
      <c r="K11" s="44">
        <v>258.70999999999998</v>
      </c>
      <c r="L11" s="7">
        <f t="shared" si="3"/>
        <v>0.32233381996353405</v>
      </c>
      <c r="M11" s="7">
        <f t="shared" si="4"/>
        <v>2.7325029062590066E-2</v>
      </c>
    </row>
    <row r="12" spans="1:13" x14ac:dyDescent="0.25">
      <c r="A12" s="17" t="s">
        <v>10</v>
      </c>
      <c r="B12" s="62">
        <v>5660315.9900000002</v>
      </c>
      <c r="C12" s="21"/>
      <c r="D12" s="62">
        <v>18922.5</v>
      </c>
      <c r="E12" s="21"/>
      <c r="F12" s="6">
        <f t="shared" si="0"/>
        <v>299.13150957854407</v>
      </c>
      <c r="G12" s="6">
        <f t="shared" si="1"/>
        <v>0</v>
      </c>
      <c r="H12" s="6">
        <f t="shared" si="2"/>
        <v>299.13150957854407</v>
      </c>
      <c r="I12" s="21">
        <v>3542121.95</v>
      </c>
      <c r="J12" s="21"/>
      <c r="K12" s="44">
        <v>250.43</v>
      </c>
      <c r="L12" s="7">
        <f t="shared" si="3"/>
        <v>0.59800144373911235</v>
      </c>
      <c r="M12" s="7">
        <f t="shared" si="4"/>
        <v>0.19447154725290125</v>
      </c>
    </row>
    <row r="13" spans="1:13" x14ac:dyDescent="0.25">
      <c r="A13" s="17" t="s">
        <v>11</v>
      </c>
      <c r="B13" s="69"/>
      <c r="C13" s="21"/>
      <c r="D13" s="21"/>
      <c r="E13" s="21"/>
      <c r="F13" s="6">
        <f>IF(D13=0,0,B13/D13)</f>
        <v>0</v>
      </c>
      <c r="G13" s="6">
        <f t="shared" si="1"/>
        <v>0</v>
      </c>
      <c r="H13" s="6">
        <f t="shared" si="2"/>
        <v>0</v>
      </c>
      <c r="I13" s="21"/>
      <c r="J13" s="21"/>
      <c r="K13" s="44">
        <v>0</v>
      </c>
      <c r="L13" s="7">
        <f>IF(I13=0,0,(B13-I13)/I13)</f>
        <v>0</v>
      </c>
      <c r="M13" s="7">
        <f t="shared" si="4"/>
        <v>0</v>
      </c>
    </row>
    <row r="14" spans="1:13" x14ac:dyDescent="0.25">
      <c r="A14" s="17" t="s">
        <v>12</v>
      </c>
      <c r="B14" s="79">
        <v>25854094.280000001</v>
      </c>
      <c r="C14" s="59"/>
      <c r="D14" s="81">
        <v>87839.79</v>
      </c>
      <c r="E14" s="59"/>
      <c r="F14" s="126"/>
      <c r="G14" s="6">
        <f t="shared" si="1"/>
        <v>0</v>
      </c>
      <c r="H14" s="6">
        <f t="shared" si="2"/>
        <v>294.3323780714868</v>
      </c>
      <c r="I14" s="21">
        <v>26362513.16</v>
      </c>
      <c r="J14" s="21"/>
      <c r="K14" s="44">
        <v>296.47000000000003</v>
      </c>
      <c r="L14" s="7">
        <f>IF(I14=0,0,(B14-I14)/I14)</f>
        <v>-1.9285675721214091E-2</v>
      </c>
      <c r="M14" s="7">
        <f t="shared" si="4"/>
        <v>-7.210247001427552E-3</v>
      </c>
    </row>
    <row r="15" spans="1:13" ht="16.5" thickBot="1" x14ac:dyDescent="0.3">
      <c r="A15" s="17" t="s">
        <v>13</v>
      </c>
      <c r="B15" s="69"/>
      <c r="C15" s="21"/>
      <c r="D15" s="21"/>
      <c r="E15" s="21"/>
      <c r="F15" s="6">
        <f t="shared" si="0"/>
        <v>0</v>
      </c>
      <c r="G15" s="6">
        <f t="shared" si="1"/>
        <v>0</v>
      </c>
      <c r="H15" s="6">
        <f t="shared" si="2"/>
        <v>0</v>
      </c>
      <c r="I15" s="21"/>
      <c r="J15" s="21"/>
      <c r="K15" s="44"/>
      <c r="L15" s="7">
        <f t="shared" si="3"/>
        <v>0</v>
      </c>
      <c r="M15" s="7">
        <f t="shared" si="4"/>
        <v>0</v>
      </c>
    </row>
    <row r="16" spans="1:13" ht="16.5" thickBot="1" x14ac:dyDescent="0.3">
      <c r="A16" s="17" t="s">
        <v>14</v>
      </c>
      <c r="B16" s="139">
        <v>3190640</v>
      </c>
      <c r="C16" s="61"/>
      <c r="D16" s="151">
        <v>10199.5</v>
      </c>
      <c r="E16" s="21"/>
      <c r="F16" s="6">
        <f t="shared" si="0"/>
        <v>312.82317760674545</v>
      </c>
      <c r="G16" s="6">
        <f t="shared" si="1"/>
        <v>0</v>
      </c>
      <c r="H16" s="6">
        <f t="shared" si="2"/>
        <v>312.82317760674545</v>
      </c>
      <c r="I16" s="21">
        <v>1181030.6000000001</v>
      </c>
      <c r="J16" s="21"/>
      <c r="K16" s="44">
        <v>343.8</v>
      </c>
      <c r="L16" s="7">
        <f t="shared" si="3"/>
        <v>1.7015726772871083</v>
      </c>
      <c r="M16" s="7">
        <f t="shared" si="4"/>
        <v>-9.0101286775027822E-2</v>
      </c>
    </row>
    <row r="17" spans="1:16" x14ac:dyDescent="0.25">
      <c r="A17" s="17" t="s">
        <v>15</v>
      </c>
      <c r="B17" s="72"/>
      <c r="C17" s="21"/>
      <c r="D17" s="21"/>
      <c r="E17" s="21"/>
      <c r="F17" s="6">
        <f t="shared" si="0"/>
        <v>0</v>
      </c>
      <c r="G17" s="6">
        <f t="shared" si="1"/>
        <v>0</v>
      </c>
      <c r="H17" s="6">
        <f t="shared" si="2"/>
        <v>0</v>
      </c>
      <c r="I17" s="21"/>
      <c r="J17" s="21"/>
      <c r="K17" s="44"/>
      <c r="L17" s="7"/>
      <c r="M17" s="7"/>
    </row>
    <row r="18" spans="1:16" x14ac:dyDescent="0.25">
      <c r="A18" s="17" t="s">
        <v>16</v>
      </c>
      <c r="B18" s="141">
        <v>67713882.060000002</v>
      </c>
      <c r="C18" s="149"/>
      <c r="D18" s="141">
        <v>222055.57</v>
      </c>
      <c r="E18" s="21"/>
      <c r="F18" s="6">
        <f t="shared" si="0"/>
        <v>304.94115531531139</v>
      </c>
      <c r="G18" s="6">
        <f t="shared" si="1"/>
        <v>0</v>
      </c>
      <c r="H18" s="6">
        <f t="shared" si="2"/>
        <v>304.94115531531139</v>
      </c>
      <c r="I18" s="21">
        <v>43448814</v>
      </c>
      <c r="J18" s="21"/>
      <c r="K18" s="44">
        <v>300.55</v>
      </c>
      <c r="L18" s="7">
        <f t="shared" si="3"/>
        <v>0.55847480808106753</v>
      </c>
      <c r="M18" s="7">
        <f t="shared" si="4"/>
        <v>1.4610398653506504E-2</v>
      </c>
    </row>
    <row r="19" spans="1:16" x14ac:dyDescent="0.25">
      <c r="A19" s="17" t="s">
        <v>17</v>
      </c>
      <c r="B19" s="148">
        <v>745558</v>
      </c>
      <c r="C19" s="60"/>
      <c r="D19" s="147">
        <v>2878</v>
      </c>
      <c r="E19" s="21"/>
      <c r="F19" s="6">
        <f t="shared" si="0"/>
        <v>259.05420430854758</v>
      </c>
      <c r="G19" s="6">
        <f>IF(E19=0,0,D19/E19)</f>
        <v>0</v>
      </c>
      <c r="H19" s="6">
        <f t="shared" si="2"/>
        <v>259.05420430854758</v>
      </c>
      <c r="I19" s="21">
        <v>1419315</v>
      </c>
      <c r="J19" s="21"/>
      <c r="K19" s="44">
        <v>283.75</v>
      </c>
      <c r="L19" s="7">
        <f t="shared" si="3"/>
        <v>-0.47470575594564984</v>
      </c>
      <c r="M19" s="7">
        <f t="shared" si="4"/>
        <v>-8.7033641203356535E-2</v>
      </c>
    </row>
    <row r="20" spans="1:16" x14ac:dyDescent="0.25">
      <c r="A20" s="17" t="s">
        <v>18</v>
      </c>
      <c r="B20" s="79">
        <v>6444714</v>
      </c>
      <c r="C20" s="130">
        <v>336850</v>
      </c>
      <c r="D20" s="81">
        <v>22131.5</v>
      </c>
      <c r="E20" s="99">
        <v>1507.5</v>
      </c>
      <c r="F20" s="6">
        <f t="shared" si="0"/>
        <v>291.2009579106703</v>
      </c>
      <c r="G20" s="6">
        <f t="shared" si="1"/>
        <v>223.44941956882255</v>
      </c>
      <c r="H20" s="6">
        <f t="shared" si="2"/>
        <v>286.88032488683956</v>
      </c>
      <c r="I20" s="21">
        <v>3461921.9</v>
      </c>
      <c r="J20" s="21">
        <v>630518.5</v>
      </c>
      <c r="K20" s="44">
        <v>269.86</v>
      </c>
      <c r="L20" s="7">
        <f t="shared" si="3"/>
        <v>0.86160005516011218</v>
      </c>
      <c r="M20" s="7">
        <f t="shared" si="4"/>
        <v>6.3070943773955182E-2</v>
      </c>
    </row>
    <row r="21" spans="1:16" x14ac:dyDescent="0.25">
      <c r="A21" s="17" t="s">
        <v>19</v>
      </c>
      <c r="B21" s="117">
        <v>13730510</v>
      </c>
      <c r="C21" s="58"/>
      <c r="D21" s="117">
        <v>39521</v>
      </c>
      <c r="E21" s="21"/>
      <c r="F21" s="6">
        <f t="shared" si="0"/>
        <v>347.42314212697045</v>
      </c>
      <c r="G21" s="6">
        <f t="shared" si="1"/>
        <v>0</v>
      </c>
      <c r="H21" s="6">
        <f t="shared" si="2"/>
        <v>347.42314212697045</v>
      </c>
      <c r="I21" s="21">
        <v>11802983</v>
      </c>
      <c r="K21" s="44">
        <v>301.93</v>
      </c>
      <c r="L21" s="7">
        <f t="shared" si="3"/>
        <v>0.16330846193712217</v>
      </c>
      <c r="M21" s="7">
        <f t="shared" si="4"/>
        <v>0.15067446801235532</v>
      </c>
      <c r="P21" s="166">
        <f>B22+B45</f>
        <v>291865194.63999999</v>
      </c>
    </row>
    <row r="22" spans="1:16" s="11" customFormat="1" x14ac:dyDescent="0.25">
      <c r="A22" s="18" t="s">
        <v>20</v>
      </c>
      <c r="B22" s="74">
        <f>SUM(B7:B21)</f>
        <v>153061939.33000001</v>
      </c>
      <c r="C22" s="40">
        <f>SUM(C7:C21)</f>
        <v>336850</v>
      </c>
      <c r="D22" s="74">
        <f>SUM(D7:D21)</f>
        <v>510645.53</v>
      </c>
      <c r="E22" s="40">
        <f>SUM(E7:E21)</f>
        <v>1507.5</v>
      </c>
      <c r="F22" s="9">
        <f>IF(D22=0,0,B22/D22)</f>
        <v>299.74205263287041</v>
      </c>
      <c r="G22" s="9">
        <f>IF(E22=0,0,C22/E22)</f>
        <v>223.44941956882255</v>
      </c>
      <c r="H22" s="9">
        <f>IF(D22+E22=0,0,(B22+C22)/(D22+E22))</f>
        <v>299.51748861077715</v>
      </c>
      <c r="I22" s="23">
        <f>SUM(I7:I21)</f>
        <v>123039426.61000001</v>
      </c>
      <c r="J22" s="23">
        <f>SUM(J7:J21)</f>
        <v>841831.5</v>
      </c>
      <c r="K22" s="45">
        <v>290.02</v>
      </c>
      <c r="L22" s="32">
        <f t="shared" si="3"/>
        <v>0.24400725480591537</v>
      </c>
      <c r="M22" s="32">
        <f t="shared" si="4"/>
        <v>3.2747702264592678E-2</v>
      </c>
    </row>
    <row r="25" spans="1:16" ht="20.25" x14ac:dyDescent="0.3">
      <c r="A25" s="20" t="str">
        <f>"MÅLESTATISTIKK FOR BETONGFAGENE - 2. HALVÅR "&amp;FORS!$A$14</f>
        <v>MÅLESTATISTIKK FOR BETONGFAGENE - 2. HALVÅR 2017</v>
      </c>
    </row>
    <row r="26" spans="1:16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6" x14ac:dyDescent="0.25">
      <c r="A27" s="15"/>
      <c r="B27" s="2" t="s">
        <v>4</v>
      </c>
      <c r="C27" s="3"/>
      <c r="D27" s="2" t="s">
        <v>5</v>
      </c>
      <c r="E27" s="3"/>
      <c r="F27" s="2" t="str">
        <f>"Fortjeneste 2. halvår  "&amp;FORS!$A$14-0</f>
        <v>Fortjeneste 2. halvår  2017</v>
      </c>
      <c r="G27" s="5"/>
      <c r="H27" s="3"/>
      <c r="I27" s="2" t="str">
        <f>" 2. halvår  "&amp;FORS!$A$14-1</f>
        <v xml:space="preserve"> 2. halvår  2016</v>
      </c>
      <c r="J27" s="5"/>
      <c r="K27" s="3"/>
      <c r="L27" s="46" t="s">
        <v>29</v>
      </c>
      <c r="M27" s="3"/>
    </row>
    <row r="28" spans="1:16" x14ac:dyDescent="0.25">
      <c r="A28" s="47"/>
      <c r="B28" s="48" t="s">
        <v>6</v>
      </c>
      <c r="C28" s="48" t="s">
        <v>6</v>
      </c>
      <c r="D28" s="48" t="s">
        <v>6</v>
      </c>
      <c r="E28" s="48" t="s">
        <v>6</v>
      </c>
      <c r="F28" s="48" t="s">
        <v>6</v>
      </c>
      <c r="G28" s="48" t="s">
        <v>6</v>
      </c>
      <c r="H28" s="49" t="s">
        <v>33</v>
      </c>
      <c r="I28" s="48" t="s">
        <v>6</v>
      </c>
      <c r="J28" s="48" t="s">
        <v>6</v>
      </c>
      <c r="K28" s="49" t="s">
        <v>31</v>
      </c>
      <c r="L28" s="48" t="s">
        <v>6</v>
      </c>
      <c r="M28" s="49" t="s">
        <v>31</v>
      </c>
    </row>
    <row r="29" spans="1:16" x14ac:dyDescent="0.25">
      <c r="A29" s="51"/>
      <c r="B29" s="52" t="s">
        <v>30</v>
      </c>
      <c r="C29" s="52" t="s">
        <v>32</v>
      </c>
      <c r="D29" s="52" t="s">
        <v>30</v>
      </c>
      <c r="E29" s="52" t="s">
        <v>32</v>
      </c>
      <c r="F29" s="52" t="s">
        <v>30</v>
      </c>
      <c r="G29" s="52" t="s">
        <v>32</v>
      </c>
      <c r="H29" s="53" t="s">
        <v>34</v>
      </c>
      <c r="I29" s="52" t="s">
        <v>30</v>
      </c>
      <c r="J29" s="52" t="s">
        <v>32</v>
      </c>
      <c r="K29" s="53" t="s">
        <v>28</v>
      </c>
      <c r="L29" s="52" t="s">
        <v>30</v>
      </c>
      <c r="M29" s="53" t="s">
        <v>28</v>
      </c>
    </row>
    <row r="30" spans="1:16" x14ac:dyDescent="0.25">
      <c r="A30" s="17" t="s">
        <v>25</v>
      </c>
      <c r="B30" s="79">
        <v>745252</v>
      </c>
      <c r="C30" s="98"/>
      <c r="D30" s="81">
        <v>2400</v>
      </c>
      <c r="E30" s="21"/>
      <c r="F30" s="6">
        <f>IF(D30=0,0,B30/D30)</f>
        <v>310.52166666666665</v>
      </c>
      <c r="G30" s="6">
        <f>IF(E30=0,0,#REF!/E30)</f>
        <v>0</v>
      </c>
      <c r="H30" s="6">
        <f>IF(D30+E30=0,0,(B30+C30)/(D30+E30))</f>
        <v>310.52166666666665</v>
      </c>
      <c r="I30" s="4">
        <v>1215187</v>
      </c>
      <c r="J30" s="4">
        <v>4141</v>
      </c>
      <c r="K30" s="6">
        <v>293.45</v>
      </c>
      <c r="L30" s="7">
        <f>IF(I30=0,0,(B30-I30)/I30)</f>
        <v>-0.38671825817754796</v>
      </c>
      <c r="M30" s="7">
        <f>IF(K30=0,0,(H30-K30)/K30)</f>
        <v>5.8175725563696233E-2</v>
      </c>
    </row>
    <row r="31" spans="1:16" x14ac:dyDescent="0.25">
      <c r="A31" s="17" t="s">
        <v>7</v>
      </c>
      <c r="B31" s="165">
        <v>28871199.199999999</v>
      </c>
      <c r="C31" s="77"/>
      <c r="D31" s="80">
        <v>102776.2</v>
      </c>
      <c r="E31" s="21"/>
      <c r="F31" s="6"/>
      <c r="G31" s="6">
        <f t="shared" ref="G31:G44" si="5">IF(E31=0,0,C31/E31)</f>
        <v>0</v>
      </c>
      <c r="H31" s="6">
        <f t="shared" ref="H31:H44" si="6">IF(D31+E31=0,0,(B31+C31)/(D31+E31))</f>
        <v>280.9132775876127</v>
      </c>
      <c r="I31" s="4">
        <v>22819678.5</v>
      </c>
      <c r="J31" s="4"/>
      <c r="K31" s="6">
        <v>283.33999999999997</v>
      </c>
      <c r="L31" s="7">
        <f>IF(I31=0,0,(B31-I31)/I31)</f>
        <v>0.2651886922946789</v>
      </c>
      <c r="M31" s="7">
        <f t="shared" ref="M31:M45" si="7">IF(K31=0,0,(H31-K31)/K31)</f>
        <v>-8.5647011095760506E-3</v>
      </c>
    </row>
    <row r="32" spans="1:16" x14ac:dyDescent="0.25">
      <c r="A32" s="17" t="s">
        <v>26</v>
      </c>
      <c r="B32" s="21"/>
      <c r="C32" s="21"/>
      <c r="D32" s="21"/>
      <c r="E32" s="21"/>
      <c r="F32" s="6">
        <f>IF(D32=0,0,B32/D32)</f>
        <v>0</v>
      </c>
      <c r="G32" s="6">
        <f>IF(E32=0,0,C32/E32)</f>
        <v>0</v>
      </c>
      <c r="H32" s="6">
        <f>IF(D32+E32=0,0,(B32+C32)/(D32+E32))</f>
        <v>0</v>
      </c>
      <c r="I32" s="4"/>
      <c r="J32" s="4"/>
      <c r="K32" s="6"/>
      <c r="L32" s="7">
        <f t="shared" ref="L32:L45" si="8">IF(I32=0,0,(B32-I32)/I32)</f>
        <v>0</v>
      </c>
      <c r="M32" s="7">
        <f t="shared" si="7"/>
        <v>0</v>
      </c>
    </row>
    <row r="33" spans="1:13" x14ac:dyDescent="0.25">
      <c r="A33" s="17"/>
      <c r="B33" s="21"/>
      <c r="C33" s="21"/>
      <c r="D33" s="21"/>
      <c r="E33" s="21"/>
      <c r="F33" s="6">
        <f t="shared" ref="F33:F44" si="9">IF(D33=0,0,B33/D33)</f>
        <v>0</v>
      </c>
      <c r="G33" s="6">
        <f t="shared" si="5"/>
        <v>0</v>
      </c>
      <c r="H33" s="6">
        <f t="shared" si="6"/>
        <v>0</v>
      </c>
      <c r="I33" s="4"/>
      <c r="J33" s="4"/>
      <c r="K33" s="6">
        <v>0</v>
      </c>
      <c r="L33" s="7">
        <f t="shared" si="8"/>
        <v>0</v>
      </c>
      <c r="M33" s="7">
        <f t="shared" si="7"/>
        <v>0</v>
      </c>
    </row>
    <row r="34" spans="1:13" x14ac:dyDescent="0.25">
      <c r="A34" s="17" t="s">
        <v>9</v>
      </c>
      <c r="B34" s="79">
        <v>7435876</v>
      </c>
      <c r="C34" s="130"/>
      <c r="D34" s="81">
        <v>28933.01</v>
      </c>
      <c r="E34" s="21"/>
      <c r="F34" s="6">
        <f>IF(D34=0,0,B34/D34)</f>
        <v>257.00319462095371</v>
      </c>
      <c r="G34" s="6">
        <f t="shared" si="5"/>
        <v>0</v>
      </c>
      <c r="H34" s="6">
        <f t="shared" si="6"/>
        <v>257.00319462095371</v>
      </c>
      <c r="I34" s="4">
        <v>6280519</v>
      </c>
      <c r="J34" s="4"/>
      <c r="K34" s="6">
        <v>264.04000000000002</v>
      </c>
      <c r="L34" s="7">
        <f t="shared" si="8"/>
        <v>0.1839588416180255</v>
      </c>
      <c r="M34" s="7">
        <f t="shared" si="7"/>
        <v>-2.6650527870952557E-2</v>
      </c>
    </row>
    <row r="35" spans="1:13" x14ac:dyDescent="0.25">
      <c r="A35" s="17" t="s">
        <v>10</v>
      </c>
      <c r="B35" s="62">
        <v>3963868.04</v>
      </c>
      <c r="C35" s="21"/>
      <c r="D35" s="62">
        <v>12392.12</v>
      </c>
      <c r="E35" s="21"/>
      <c r="F35" s="6">
        <f t="shared" si="9"/>
        <v>319.87004967673005</v>
      </c>
      <c r="G35" s="6">
        <f t="shared" si="5"/>
        <v>0</v>
      </c>
      <c r="H35" s="6">
        <f t="shared" si="6"/>
        <v>319.87004967673005</v>
      </c>
      <c r="I35" s="4">
        <v>1160879.45</v>
      </c>
      <c r="J35" s="4"/>
      <c r="K35" s="6">
        <v>296.93</v>
      </c>
      <c r="L35" s="7">
        <f t="shared" si="8"/>
        <v>2.4145388997970461</v>
      </c>
      <c r="M35" s="7">
        <f t="shared" si="7"/>
        <v>7.725743332344337E-2</v>
      </c>
    </row>
    <row r="36" spans="1:13" x14ac:dyDescent="0.25">
      <c r="A36" s="17" t="s">
        <v>11</v>
      </c>
      <c r="B36" s="21"/>
      <c r="C36" s="21"/>
      <c r="D36" s="21"/>
      <c r="E36" s="21"/>
      <c r="F36" s="6">
        <f t="shared" si="9"/>
        <v>0</v>
      </c>
      <c r="G36" s="6">
        <f t="shared" si="5"/>
        <v>0</v>
      </c>
      <c r="H36" s="6">
        <f t="shared" si="6"/>
        <v>0</v>
      </c>
      <c r="I36" s="4"/>
      <c r="J36" s="4"/>
      <c r="K36" s="6">
        <v>0</v>
      </c>
      <c r="L36" s="7">
        <f t="shared" si="8"/>
        <v>0</v>
      </c>
      <c r="M36" s="7">
        <f t="shared" si="7"/>
        <v>0</v>
      </c>
    </row>
    <row r="37" spans="1:13" x14ac:dyDescent="0.25">
      <c r="A37" s="17" t="s">
        <v>12</v>
      </c>
      <c r="B37" s="79">
        <v>35988200.619999997</v>
      </c>
      <c r="C37" s="130"/>
      <c r="D37" s="81">
        <v>122736.61</v>
      </c>
      <c r="E37" s="21"/>
      <c r="F37" s="6">
        <f t="shared" si="9"/>
        <v>293.21488201442094</v>
      </c>
      <c r="G37" s="6">
        <f t="shared" si="5"/>
        <v>0</v>
      </c>
      <c r="H37" s="6">
        <f>IF(D37+E37=0,0,(B37+C37)/(D37+E37))</f>
        <v>293.21488201442094</v>
      </c>
      <c r="I37" s="4">
        <v>33046055.670000002</v>
      </c>
      <c r="J37" s="4"/>
      <c r="K37" s="6">
        <v>295.99</v>
      </c>
      <c r="L37" s="7">
        <f t="shared" si="8"/>
        <v>8.9031652654115237E-2</v>
      </c>
      <c r="M37" s="7">
        <f t="shared" si="7"/>
        <v>-9.3757153470694025E-3</v>
      </c>
    </row>
    <row r="38" spans="1:13" x14ac:dyDescent="0.25">
      <c r="A38" s="17" t="s">
        <v>13</v>
      </c>
      <c r="B38" s="21"/>
      <c r="C38" s="21"/>
      <c r="D38" s="21"/>
      <c r="E38" s="21"/>
      <c r="F38" s="6">
        <f t="shared" si="9"/>
        <v>0</v>
      </c>
      <c r="G38" s="6">
        <f t="shared" si="5"/>
        <v>0</v>
      </c>
      <c r="H38" s="6">
        <f t="shared" si="6"/>
        <v>0</v>
      </c>
      <c r="I38" s="4"/>
      <c r="J38" s="4"/>
      <c r="K38" s="6">
        <v>0</v>
      </c>
      <c r="L38" s="7">
        <f t="shared" si="8"/>
        <v>0</v>
      </c>
      <c r="M38" s="7">
        <f t="shared" si="7"/>
        <v>0</v>
      </c>
    </row>
    <row r="39" spans="1:13" x14ac:dyDescent="0.25">
      <c r="A39" s="17" t="s">
        <v>14</v>
      </c>
      <c r="B39" s="62">
        <v>153094</v>
      </c>
      <c r="C39" s="62"/>
      <c r="D39" s="62">
        <v>456.5</v>
      </c>
      <c r="E39" s="21"/>
      <c r="F39" s="6">
        <f t="shared" si="9"/>
        <v>335.36473165388827</v>
      </c>
      <c r="G39" s="6">
        <f t="shared" si="5"/>
        <v>0</v>
      </c>
      <c r="H39" s="6">
        <f t="shared" si="6"/>
        <v>335.36473165388827</v>
      </c>
      <c r="I39" s="4">
        <v>9209474.4000000004</v>
      </c>
      <c r="J39" s="4"/>
      <c r="K39" s="6">
        <v>307.17</v>
      </c>
      <c r="L39" s="7">
        <f t="shared" si="8"/>
        <v>-0.98337646717384875</v>
      </c>
      <c r="M39" s="7">
        <f t="shared" si="7"/>
        <v>9.1788689175011401E-2</v>
      </c>
    </row>
    <row r="40" spans="1:13" x14ac:dyDescent="0.25">
      <c r="A40" s="17"/>
      <c r="B40" s="21"/>
      <c r="C40" s="21"/>
      <c r="D40" s="21"/>
      <c r="E40" s="21"/>
      <c r="F40" s="6">
        <f t="shared" si="9"/>
        <v>0</v>
      </c>
      <c r="G40" s="6">
        <f t="shared" si="5"/>
        <v>0</v>
      </c>
      <c r="H40" s="6">
        <f t="shared" si="6"/>
        <v>0</v>
      </c>
      <c r="I40" s="4"/>
      <c r="J40" s="4"/>
      <c r="K40" s="6"/>
      <c r="L40" s="7">
        <f t="shared" si="8"/>
        <v>0</v>
      </c>
      <c r="M40" s="7">
        <f t="shared" si="7"/>
        <v>0</v>
      </c>
    </row>
    <row r="41" spans="1:13" x14ac:dyDescent="0.25">
      <c r="A41" s="17" t="s">
        <v>16</v>
      </c>
      <c r="B41" s="141">
        <v>45905895.450000003</v>
      </c>
      <c r="C41" s="130"/>
      <c r="D41" s="104">
        <v>147384.69</v>
      </c>
      <c r="E41" s="21"/>
      <c r="F41" s="6">
        <f t="shared" si="9"/>
        <v>311.46990538840907</v>
      </c>
      <c r="G41" s="6">
        <f t="shared" si="5"/>
        <v>0</v>
      </c>
      <c r="H41" s="6">
        <f t="shared" si="6"/>
        <v>311.46990538840907</v>
      </c>
      <c r="I41" s="4">
        <v>25045308.059999999</v>
      </c>
      <c r="J41" s="4"/>
      <c r="K41" s="6">
        <v>291.82</v>
      </c>
      <c r="L41" s="7">
        <f t="shared" si="8"/>
        <v>0.83291398692422414</v>
      </c>
      <c r="M41" s="7">
        <f t="shared" si="7"/>
        <v>6.7335704846854499E-2</v>
      </c>
    </row>
    <row r="42" spans="1:13" x14ac:dyDescent="0.25">
      <c r="A42" s="17" t="s">
        <v>17</v>
      </c>
      <c r="B42" s="161">
        <v>1181234</v>
      </c>
      <c r="C42" s="21"/>
      <c r="D42" s="162">
        <v>4266</v>
      </c>
      <c r="E42" s="21"/>
      <c r="F42" s="6">
        <f t="shared" si="9"/>
        <v>276.89498359118613</v>
      </c>
      <c r="G42" s="6">
        <f t="shared" si="5"/>
        <v>0</v>
      </c>
      <c r="H42" s="6">
        <f t="shared" si="6"/>
        <v>276.89498359118613</v>
      </c>
      <c r="I42" s="4">
        <v>613416</v>
      </c>
      <c r="J42" s="4"/>
      <c r="K42" s="6">
        <v>241.79</v>
      </c>
      <c r="L42" s="7">
        <f t="shared" si="8"/>
        <v>0.92566545378666354</v>
      </c>
      <c r="M42" s="7">
        <f t="shared" si="7"/>
        <v>0.14518790517054528</v>
      </c>
    </row>
    <row r="43" spans="1:13" x14ac:dyDescent="0.25">
      <c r="A43" s="17" t="s">
        <v>18</v>
      </c>
      <c r="B43" s="64">
        <v>7637352</v>
      </c>
      <c r="C43" s="64">
        <v>164000</v>
      </c>
      <c r="D43" s="21">
        <v>24991.5</v>
      </c>
      <c r="E43" s="21">
        <v>735.5</v>
      </c>
      <c r="F43" s="6">
        <f t="shared" si="9"/>
        <v>305.59798331432688</v>
      </c>
      <c r="G43" s="6">
        <f t="shared" si="5"/>
        <v>222.9775662814412</v>
      </c>
      <c r="H43" s="6">
        <f t="shared" si="6"/>
        <v>303.23597776654879</v>
      </c>
      <c r="I43" s="4">
        <v>3603657</v>
      </c>
      <c r="J43" s="4">
        <v>72160</v>
      </c>
      <c r="K43" s="6">
        <v>290.20999999999998</v>
      </c>
      <c r="L43" s="7">
        <f t="shared" si="8"/>
        <v>1.1193337767717626</v>
      </c>
      <c r="M43" s="7">
        <f t="shared" si="7"/>
        <v>4.4884662025942615E-2</v>
      </c>
    </row>
    <row r="44" spans="1:13" x14ac:dyDescent="0.25">
      <c r="A44" s="17" t="s">
        <v>19</v>
      </c>
      <c r="B44" s="73">
        <v>6921284</v>
      </c>
      <c r="C44" s="73">
        <v>1477955</v>
      </c>
      <c r="D44" s="117">
        <v>20633</v>
      </c>
      <c r="E44" s="21">
        <v>6913</v>
      </c>
      <c r="F44" s="6">
        <f t="shared" si="9"/>
        <v>335.44729317113359</v>
      </c>
      <c r="G44" s="6">
        <f t="shared" si="5"/>
        <v>213.79357731809634</v>
      </c>
      <c r="H44" s="6">
        <f t="shared" si="6"/>
        <v>304.91683002976839</v>
      </c>
      <c r="I44" s="4">
        <v>12082961</v>
      </c>
      <c r="J44" s="4"/>
      <c r="K44" s="6">
        <v>322.10000000000002</v>
      </c>
      <c r="L44" s="7">
        <f t="shared" si="8"/>
        <v>-0.42718643219985564</v>
      </c>
      <c r="M44" s="7">
        <f t="shared" si="7"/>
        <v>-5.3347314406183267E-2</v>
      </c>
    </row>
    <row r="45" spans="1:13" x14ac:dyDescent="0.25">
      <c r="A45" s="18" t="s">
        <v>20</v>
      </c>
      <c r="B45" s="8">
        <f>SUM(B30:B44)</f>
        <v>138803255.31</v>
      </c>
      <c r="C45" s="8">
        <f>SUM(C30:C44)</f>
        <v>1641955</v>
      </c>
      <c r="D45" s="8">
        <f>SUM(D30:D44)</f>
        <v>466969.63</v>
      </c>
      <c r="E45" s="8">
        <f>SUM(E30:E44)</f>
        <v>7648.5</v>
      </c>
      <c r="F45" s="9">
        <f>IF(D45=0,0,B45/D45)</f>
        <v>297.24257508994748</v>
      </c>
      <c r="G45" s="9">
        <f>IF(E45=0,0,C45/E45)</f>
        <v>214.67673400013075</v>
      </c>
      <c r="H45" s="9">
        <f>IF(D45+E45=0,0,(B45+C45)/(D45+E45))</f>
        <v>295.91202154456255</v>
      </c>
      <c r="I45" s="8">
        <f>SUM(I30:I44)</f>
        <v>115077136.08000001</v>
      </c>
      <c r="J45" s="8">
        <v>1565848</v>
      </c>
      <c r="K45" s="9">
        <v>293.33999999999997</v>
      </c>
      <c r="L45" s="32">
        <f t="shared" si="8"/>
        <v>0.20617578815574558</v>
      </c>
      <c r="M45" s="32">
        <f t="shared" si="7"/>
        <v>8.7680559915544222E-3</v>
      </c>
    </row>
    <row r="46" spans="1:13" x14ac:dyDescent="0.25">
      <c r="J46" s="38"/>
    </row>
    <row r="48" spans="1:13" ht="20.25" x14ac:dyDescent="0.3">
      <c r="A48" s="20" t="str">
        <f>"MÅLESTATISTIKK FOR BETONGFAGENE - GJENNOMSNITT HELE ÅRET  "&amp;FORS!$A$14</f>
        <v>MÅLESTATISTIKK FOR BETONGFAGENE - GJENNOMSNITT HELE ÅRET  2017</v>
      </c>
    </row>
    <row r="49" spans="1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5"/>
      <c r="B50" s="2" t="s">
        <v>4</v>
      </c>
      <c r="C50" s="3"/>
      <c r="D50" s="2" t="s">
        <v>5</v>
      </c>
      <c r="E50" s="3"/>
      <c r="F50" s="2" t="str">
        <f>"Fortjeneste hele  "&amp;FORS!$A$14-0</f>
        <v>Fortjeneste hele  2017</v>
      </c>
      <c r="G50" s="5"/>
      <c r="H50" s="3"/>
      <c r="I50" s="2" t="str">
        <f>" Hele året  "&amp;FORS!$A$14-1</f>
        <v xml:space="preserve"> Hele året  2016</v>
      </c>
      <c r="J50" s="5"/>
      <c r="K50" s="3"/>
      <c r="L50" s="46" t="s">
        <v>29</v>
      </c>
      <c r="M50" s="3"/>
    </row>
    <row r="51" spans="1:13" x14ac:dyDescent="0.25">
      <c r="A51" s="47"/>
      <c r="B51" s="48" t="s">
        <v>6</v>
      </c>
      <c r="C51" s="48" t="s">
        <v>6</v>
      </c>
      <c r="D51" s="48" t="s">
        <v>6</v>
      </c>
      <c r="E51" s="48" t="s">
        <v>6</v>
      </c>
      <c r="F51" s="48" t="s">
        <v>6</v>
      </c>
      <c r="G51" s="48" t="s">
        <v>6</v>
      </c>
      <c r="H51" s="49" t="s">
        <v>33</v>
      </c>
      <c r="I51" s="48" t="s">
        <v>6</v>
      </c>
      <c r="J51" s="48" t="s">
        <v>6</v>
      </c>
      <c r="K51" s="49" t="s">
        <v>31</v>
      </c>
      <c r="L51" s="48" t="s">
        <v>6</v>
      </c>
      <c r="M51" s="49" t="s">
        <v>31</v>
      </c>
    </row>
    <row r="52" spans="1:13" ht="16.5" thickBot="1" x14ac:dyDescent="0.3">
      <c r="A52" s="51"/>
      <c r="B52" s="52" t="s">
        <v>30</v>
      </c>
      <c r="C52" s="101" t="s">
        <v>32</v>
      </c>
      <c r="D52" s="52" t="s">
        <v>30</v>
      </c>
      <c r="E52" s="52" t="s">
        <v>32</v>
      </c>
      <c r="F52" s="52" t="s">
        <v>30</v>
      </c>
      <c r="G52" s="52" t="s">
        <v>32</v>
      </c>
      <c r="H52" s="53" t="s">
        <v>34</v>
      </c>
      <c r="I52" s="52" t="s">
        <v>30</v>
      </c>
      <c r="J52" s="52" t="s">
        <v>32</v>
      </c>
      <c r="K52" s="53" t="s">
        <v>28</v>
      </c>
      <c r="L52" s="52" t="s">
        <v>30</v>
      </c>
      <c r="M52" s="53" t="s">
        <v>28</v>
      </c>
    </row>
    <row r="53" spans="1:13" ht="16.5" thickBot="1" x14ac:dyDescent="0.3">
      <c r="A53" s="17" t="s">
        <v>25</v>
      </c>
      <c r="B53" s="97">
        <f>B7+B30</f>
        <v>2341738</v>
      </c>
      <c r="C53" s="103">
        <f>C7+C30</f>
        <v>0</v>
      </c>
      <c r="D53" s="97">
        <f>D7+D30</f>
        <v>7892</v>
      </c>
      <c r="E53" s="4">
        <f>E7+E30</f>
        <v>0</v>
      </c>
      <c r="F53" s="6">
        <f>IF(D30=0,0,B30/D30)</f>
        <v>310.52166666666665</v>
      </c>
      <c r="G53" s="6">
        <f>IF(E53=0,0,C30/E53)</f>
        <v>0</v>
      </c>
      <c r="H53" s="6">
        <f>IF(D30+E53=0,0,(B30+C30)/(D30+E53))</f>
        <v>310.52166666666665</v>
      </c>
      <c r="I53" s="4">
        <f>I7+I30</f>
        <v>3170602</v>
      </c>
      <c r="J53" s="4">
        <f>J7+J30</f>
        <v>215454</v>
      </c>
      <c r="K53" s="6">
        <v>234.91</v>
      </c>
      <c r="L53" s="7">
        <f>IF(I53=0,0,(B30-I53)/I53)</f>
        <v>-0.76494936923650458</v>
      </c>
      <c r="M53" s="7">
        <f>IF(K53=0,0,(H53-K53)/K53)</f>
        <v>0.32187504434322356</v>
      </c>
    </row>
    <row r="54" spans="1:13" x14ac:dyDescent="0.25">
      <c r="A54" s="17" t="s">
        <v>7</v>
      </c>
      <c r="B54" s="4">
        <f>B8+B31</f>
        <v>47499877.200000003</v>
      </c>
      <c r="C54" s="102"/>
      <c r="D54" s="4">
        <f>D8+D31</f>
        <v>168648.97999999998</v>
      </c>
      <c r="E54" s="4"/>
      <c r="F54" s="6">
        <f t="shared" ref="F54:F67" si="10">IF(D54=0,0,B54/D54)</f>
        <v>281.64935951584175</v>
      </c>
      <c r="G54" s="6">
        <f t="shared" ref="G54:G67" si="11">IF(E54=0,0,C54/E54)</f>
        <v>0</v>
      </c>
      <c r="H54" s="6">
        <f t="shared" ref="H54:H67" si="12">IF(D54+E54=0,0,(B54+C54)/(D54+E54))</f>
        <v>281.64935951584175</v>
      </c>
      <c r="I54" s="4">
        <f t="shared" ref="I54:J68" si="13">I8+I31</f>
        <v>45502945.5</v>
      </c>
      <c r="J54" s="4">
        <f t="shared" si="13"/>
        <v>0</v>
      </c>
      <c r="K54" s="6">
        <v>281.77</v>
      </c>
      <c r="L54" s="7">
        <f t="shared" ref="L54:L68" si="14">IF(I54=0,0,(B54-I54)/I54)</f>
        <v>4.38857677905709E-2</v>
      </c>
      <c r="M54" s="7">
        <f t="shared" ref="M54:M68" si="15">IF(K54=0,0,(H54-K54)/K54)</f>
        <v>-4.2815233757401361E-4</v>
      </c>
    </row>
    <row r="55" spans="1:13" x14ac:dyDescent="0.25">
      <c r="A55" s="17" t="s">
        <v>26</v>
      </c>
      <c r="B55" s="4"/>
      <c r="C55" s="4"/>
      <c r="D55" s="4"/>
      <c r="E55" s="4"/>
      <c r="F55" s="6">
        <f t="shared" si="10"/>
        <v>0</v>
      </c>
      <c r="G55" s="6">
        <f t="shared" si="11"/>
        <v>0</v>
      </c>
      <c r="H55" s="6">
        <f t="shared" si="12"/>
        <v>0</v>
      </c>
      <c r="I55" s="4">
        <f t="shared" si="13"/>
        <v>0</v>
      </c>
      <c r="J55" s="4">
        <f t="shared" si="13"/>
        <v>0</v>
      </c>
      <c r="K55" s="6"/>
      <c r="L55" s="7">
        <f t="shared" si="14"/>
        <v>0</v>
      </c>
      <c r="M55" s="7">
        <f t="shared" si="15"/>
        <v>0</v>
      </c>
    </row>
    <row r="56" spans="1:13" x14ac:dyDescent="0.25">
      <c r="A56" s="17"/>
      <c r="B56" s="4"/>
      <c r="C56" s="4"/>
      <c r="D56" s="4"/>
      <c r="E56" s="4"/>
      <c r="F56" s="6">
        <f t="shared" si="10"/>
        <v>0</v>
      </c>
      <c r="G56" s="6">
        <f t="shared" si="11"/>
        <v>0</v>
      </c>
      <c r="H56" s="6">
        <f t="shared" si="12"/>
        <v>0</v>
      </c>
      <c r="I56" s="4">
        <f t="shared" si="13"/>
        <v>0</v>
      </c>
      <c r="J56" s="4">
        <f t="shared" si="13"/>
        <v>0</v>
      </c>
      <c r="K56" s="6">
        <v>0</v>
      </c>
      <c r="L56" s="7">
        <f t="shared" si="14"/>
        <v>0</v>
      </c>
      <c r="M56" s="7">
        <f t="shared" si="15"/>
        <v>0</v>
      </c>
    </row>
    <row r="57" spans="1:13" x14ac:dyDescent="0.25">
      <c r="A57" s="17" t="s">
        <v>9</v>
      </c>
      <c r="B57" s="64">
        <f>B11+B34</f>
        <v>16932937</v>
      </c>
      <c r="C57" s="4"/>
      <c r="D57" s="4">
        <f>D11+D34</f>
        <v>64665.899999999994</v>
      </c>
      <c r="E57" s="4"/>
      <c r="F57" s="6">
        <f t="shared" si="10"/>
        <v>261.85264567569618</v>
      </c>
      <c r="G57" s="6">
        <f t="shared" si="11"/>
        <v>0</v>
      </c>
      <c r="H57" s="6">
        <f t="shared" si="12"/>
        <v>261.85264567569618</v>
      </c>
      <c r="I57" s="4">
        <f t="shared" si="13"/>
        <v>13462564</v>
      </c>
      <c r="J57" s="4">
        <f t="shared" si="13"/>
        <v>0</v>
      </c>
      <c r="K57" s="6">
        <v>261.17</v>
      </c>
      <c r="L57" s="7">
        <f t="shared" si="14"/>
        <v>0.25777949876412842</v>
      </c>
      <c r="M57" s="7">
        <f t="shared" si="15"/>
        <v>2.6137981992425036E-3</v>
      </c>
    </row>
    <row r="58" spans="1:13" x14ac:dyDescent="0.25">
      <c r="A58" s="17" t="s">
        <v>10</v>
      </c>
      <c r="B58" s="64">
        <f>B12+B35</f>
        <v>9624184.0300000012</v>
      </c>
      <c r="C58" s="4"/>
      <c r="D58" s="4">
        <f>D12+D35</f>
        <v>31314.620000000003</v>
      </c>
      <c r="E58" s="4"/>
      <c r="F58" s="6">
        <f t="shared" si="10"/>
        <v>307.33836240069337</v>
      </c>
      <c r="G58" s="6">
        <f t="shared" si="11"/>
        <v>0</v>
      </c>
      <c r="H58" s="6">
        <f t="shared" si="12"/>
        <v>307.33836240069337</v>
      </c>
      <c r="I58" s="4">
        <f t="shared" si="13"/>
        <v>4703001.4000000004</v>
      </c>
      <c r="J58" s="4">
        <f t="shared" si="13"/>
        <v>0</v>
      </c>
      <c r="K58" s="6">
        <v>260.5</v>
      </c>
      <c r="L58" s="7">
        <f t="shared" si="14"/>
        <v>1.0463919126198857</v>
      </c>
      <c r="M58" s="7">
        <f t="shared" si="15"/>
        <v>0.17980177505064635</v>
      </c>
    </row>
    <row r="59" spans="1:13" x14ac:dyDescent="0.25">
      <c r="A59" s="17"/>
      <c r="B59" s="4"/>
      <c r="C59" s="4"/>
      <c r="D59" s="4"/>
      <c r="E59" s="4"/>
      <c r="F59" s="6">
        <f t="shared" si="10"/>
        <v>0</v>
      </c>
      <c r="G59" s="6">
        <f t="shared" si="11"/>
        <v>0</v>
      </c>
      <c r="H59" s="6">
        <f t="shared" si="12"/>
        <v>0</v>
      </c>
      <c r="I59" s="4">
        <f t="shared" si="13"/>
        <v>0</v>
      </c>
      <c r="J59" s="4">
        <f t="shared" si="13"/>
        <v>0</v>
      </c>
      <c r="K59" s="6">
        <v>0</v>
      </c>
      <c r="L59" s="7">
        <f t="shared" si="14"/>
        <v>0</v>
      </c>
      <c r="M59" s="7">
        <f t="shared" si="15"/>
        <v>0</v>
      </c>
    </row>
    <row r="60" spans="1:13" x14ac:dyDescent="0.25">
      <c r="A60" s="17" t="s">
        <v>12</v>
      </c>
      <c r="B60" s="97">
        <f>B14+B37</f>
        <v>61842294.899999999</v>
      </c>
      <c r="C60" s="4"/>
      <c r="D60" s="81">
        <f>D14+D37</f>
        <v>210576.4</v>
      </c>
      <c r="E60" s="4"/>
      <c r="F60" s="6">
        <f>IF(D60=0,0,B60/D60)</f>
        <v>293.68103405699782</v>
      </c>
      <c r="G60" s="6">
        <f t="shared" si="11"/>
        <v>0</v>
      </c>
      <c r="H60" s="6">
        <f>IF(D60+E60=0,0,(B60+C60)/(D60+E60))</f>
        <v>293.68103405699782</v>
      </c>
      <c r="I60" s="4">
        <f t="shared" si="13"/>
        <v>59408568.829999998</v>
      </c>
      <c r="J60" s="4">
        <f t="shared" si="13"/>
        <v>0</v>
      </c>
      <c r="K60" s="6">
        <v>296.2</v>
      </c>
      <c r="L60" s="7">
        <f t="shared" si="14"/>
        <v>4.0965909765714188E-2</v>
      </c>
      <c r="M60" s="7">
        <f t="shared" si="15"/>
        <v>-8.5042739466649978E-3</v>
      </c>
    </row>
    <row r="61" spans="1:13" x14ac:dyDescent="0.25">
      <c r="A61" s="17" t="s">
        <v>13</v>
      </c>
      <c r="B61" s="4"/>
      <c r="C61" s="4"/>
      <c r="D61" s="4"/>
      <c r="E61" s="4"/>
      <c r="F61" s="6">
        <f t="shared" si="10"/>
        <v>0</v>
      </c>
      <c r="G61" s="6">
        <f t="shared" si="11"/>
        <v>0</v>
      </c>
      <c r="H61" s="6">
        <f t="shared" si="12"/>
        <v>0</v>
      </c>
      <c r="I61" s="4">
        <f t="shared" si="13"/>
        <v>0</v>
      </c>
      <c r="J61" s="4">
        <f t="shared" si="13"/>
        <v>0</v>
      </c>
      <c r="K61" s="6"/>
      <c r="L61" s="7">
        <f t="shared" si="14"/>
        <v>0</v>
      </c>
      <c r="M61" s="7">
        <f t="shared" si="15"/>
        <v>0</v>
      </c>
    </row>
    <row r="62" spans="1:13" x14ac:dyDescent="0.25">
      <c r="A62" s="17" t="s">
        <v>14</v>
      </c>
      <c r="B62" s="64">
        <f>B16+B39</f>
        <v>3343734</v>
      </c>
      <c r="C62" s="4"/>
      <c r="D62" s="64">
        <f>D16+D39</f>
        <v>10656</v>
      </c>
      <c r="E62" s="4"/>
      <c r="F62" s="6">
        <f t="shared" si="10"/>
        <v>313.78885135135135</v>
      </c>
      <c r="G62" s="6">
        <f t="shared" si="11"/>
        <v>0</v>
      </c>
      <c r="H62" s="6">
        <f t="shared" si="12"/>
        <v>313.78885135135135</v>
      </c>
      <c r="I62" s="4">
        <f t="shared" si="13"/>
        <v>10390505</v>
      </c>
      <c r="J62" s="4">
        <f t="shared" si="13"/>
        <v>0</v>
      </c>
      <c r="K62" s="6">
        <v>310.94</v>
      </c>
      <c r="L62" s="7">
        <f t="shared" si="14"/>
        <v>-0.67819331206712286</v>
      </c>
      <c r="M62" s="7">
        <f t="shared" si="15"/>
        <v>9.1620613345061962E-3</v>
      </c>
    </row>
    <row r="63" spans="1:13" x14ac:dyDescent="0.25">
      <c r="A63" s="17"/>
      <c r="B63" s="64"/>
      <c r="C63" s="4"/>
      <c r="D63" s="4"/>
      <c r="E63" s="4"/>
      <c r="F63" s="6">
        <f t="shared" si="10"/>
        <v>0</v>
      </c>
      <c r="G63" s="6">
        <f t="shared" si="11"/>
        <v>0</v>
      </c>
      <c r="H63" s="6">
        <f t="shared" si="12"/>
        <v>0</v>
      </c>
      <c r="I63" s="4">
        <f t="shared" si="13"/>
        <v>0</v>
      </c>
      <c r="J63" s="4">
        <f t="shared" si="13"/>
        <v>0</v>
      </c>
      <c r="K63" s="6"/>
      <c r="L63" s="7">
        <f t="shared" si="14"/>
        <v>0</v>
      </c>
      <c r="M63" s="7">
        <f t="shared" si="15"/>
        <v>0</v>
      </c>
    </row>
    <row r="64" spans="1:13" x14ac:dyDescent="0.25">
      <c r="A64" s="17" t="s">
        <v>16</v>
      </c>
      <c r="B64" s="64">
        <f>B18+B41</f>
        <v>113619777.51000001</v>
      </c>
      <c r="C64" s="4"/>
      <c r="D64" s="64">
        <f>D18+D41</f>
        <v>369440.26</v>
      </c>
      <c r="E64" s="4"/>
      <c r="F64" s="6">
        <f t="shared" si="10"/>
        <v>307.5457382744371</v>
      </c>
      <c r="G64" s="6">
        <f t="shared" si="11"/>
        <v>0</v>
      </c>
      <c r="H64" s="6">
        <f t="shared" si="12"/>
        <v>307.5457382744371</v>
      </c>
      <c r="I64" s="4">
        <f t="shared" si="13"/>
        <v>68494122.060000002</v>
      </c>
      <c r="J64" s="4">
        <f t="shared" si="13"/>
        <v>0</v>
      </c>
      <c r="K64" s="6">
        <v>297.3</v>
      </c>
      <c r="L64" s="7">
        <f t="shared" si="14"/>
        <v>0.65882522606057337</v>
      </c>
      <c r="M64" s="7">
        <f t="shared" si="15"/>
        <v>3.4462624535610789E-2</v>
      </c>
    </row>
    <row r="65" spans="1:13" x14ac:dyDescent="0.25">
      <c r="A65" s="17" t="s">
        <v>17</v>
      </c>
      <c r="B65" s="97">
        <f>B19+B42</f>
        <v>1926792</v>
      </c>
      <c r="C65" s="4"/>
      <c r="D65" s="97">
        <f>D19+D42</f>
        <v>7144</v>
      </c>
      <c r="E65" s="4"/>
      <c r="F65" s="6">
        <f>IF(D65=0,0,B65/D65)</f>
        <v>269.7077267637178</v>
      </c>
      <c r="G65" s="6">
        <f t="shared" si="11"/>
        <v>0</v>
      </c>
      <c r="H65" s="6">
        <f t="shared" si="12"/>
        <v>269.7077267637178</v>
      </c>
      <c r="I65" s="4">
        <f t="shared" si="13"/>
        <v>2032731</v>
      </c>
      <c r="J65" s="4">
        <f t="shared" si="13"/>
        <v>0</v>
      </c>
      <c r="K65" s="6">
        <v>269.63</v>
      </c>
      <c r="L65" s="7">
        <f>IF(I65=0,0,(B42-I65)/I65)</f>
        <v>-0.41889310489189174</v>
      </c>
      <c r="M65" s="7">
        <f t="shared" si="15"/>
        <v>2.8827194198644668E-4</v>
      </c>
    </row>
    <row r="66" spans="1:13" x14ac:dyDescent="0.25">
      <c r="A66" s="17" t="s">
        <v>18</v>
      </c>
      <c r="B66" s="105">
        <f>B20+B43</f>
        <v>14082066</v>
      </c>
      <c r="C66" s="97">
        <f>C20+C43</f>
        <v>500850</v>
      </c>
      <c r="D66" s="4">
        <f>D20+D43</f>
        <v>47123</v>
      </c>
      <c r="E66" s="4">
        <f>E20+E43</f>
        <v>2243</v>
      </c>
      <c r="F66" s="6">
        <f>IF(D66=0,0,B66/D66)</f>
        <v>298.83636440803855</v>
      </c>
      <c r="G66" s="6">
        <f t="shared" si="11"/>
        <v>223.29469460543913</v>
      </c>
      <c r="H66" s="6">
        <f t="shared" si="12"/>
        <v>295.40404326864643</v>
      </c>
      <c r="I66" s="4">
        <f t="shared" si="13"/>
        <v>7065578.9000000004</v>
      </c>
      <c r="J66" s="4">
        <f t="shared" si="13"/>
        <v>702678.5</v>
      </c>
      <c r="K66" s="6">
        <v>279.12</v>
      </c>
      <c r="L66" s="7">
        <f>IF(I66=0,0,(B43-I66)/I66)</f>
        <v>8.092374426672945E-2</v>
      </c>
      <c r="M66" s="7">
        <f t="shared" si="15"/>
        <v>5.8340653728311938E-2</v>
      </c>
    </row>
    <row r="67" spans="1:13" x14ac:dyDescent="0.25">
      <c r="A67" s="17" t="s">
        <v>19</v>
      </c>
      <c r="B67" s="73">
        <f>B21+B44</f>
        <v>20651794</v>
      </c>
      <c r="C67" s="4">
        <f>C21+C44</f>
        <v>1477955</v>
      </c>
      <c r="D67" s="117">
        <f>D21+D44</f>
        <v>60154</v>
      </c>
      <c r="E67" s="4">
        <f>E21+E44</f>
        <v>6913</v>
      </c>
      <c r="F67" s="6">
        <f t="shared" si="10"/>
        <v>343.31539049772249</v>
      </c>
      <c r="G67" s="6">
        <f t="shared" si="11"/>
        <v>213.79357731809634</v>
      </c>
      <c r="H67" s="6">
        <f t="shared" si="12"/>
        <v>329.9647963976322</v>
      </c>
      <c r="I67" s="4">
        <f>I21+I44</f>
        <v>23885944</v>
      </c>
      <c r="J67" s="4">
        <f>J21+J44</f>
        <v>0</v>
      </c>
      <c r="K67" s="6">
        <v>311.81</v>
      </c>
      <c r="L67" s="7">
        <f t="shared" si="14"/>
        <v>-0.13539971457690766</v>
      </c>
      <c r="M67" s="7">
        <f t="shared" si="15"/>
        <v>5.8223906858767188E-2</v>
      </c>
    </row>
    <row r="68" spans="1:13" x14ac:dyDescent="0.25">
      <c r="A68" s="18" t="s">
        <v>20</v>
      </c>
      <c r="B68" s="8">
        <f>SUM(B53:B67)</f>
        <v>291865194.63999999</v>
      </c>
      <c r="C68" s="8">
        <f>SUM(C53:C67)</f>
        <v>1978805</v>
      </c>
      <c r="D68" s="8">
        <f>SUM(D53:D67)</f>
        <v>977615.16</v>
      </c>
      <c r="E68" s="8">
        <f>SUM(E53:E67)</f>
        <v>9156</v>
      </c>
      <c r="F68" s="9">
        <f>IF(D68=0,0,B68/D68)</f>
        <v>298.54814714616327</v>
      </c>
      <c r="G68" s="9">
        <f>IF(E68=0,0,C68/E68)</f>
        <v>216.12112276103102</v>
      </c>
      <c r="H68" s="9">
        <f>IF(D68+E68=0,0,(B68+C68)/(D68+E68))</f>
        <v>297.7833276359637</v>
      </c>
      <c r="I68" s="4">
        <f t="shared" si="13"/>
        <v>238116562.69000003</v>
      </c>
      <c r="J68" s="4">
        <f t="shared" si="13"/>
        <v>2407679.5</v>
      </c>
      <c r="K68" s="9">
        <v>291.61</v>
      </c>
      <c r="L68" s="32">
        <f t="shared" si="14"/>
        <v>0.22572403760075441</v>
      </c>
      <c r="M68" s="32">
        <f t="shared" si="15"/>
        <v>2.1169807743094158E-2</v>
      </c>
    </row>
    <row r="71" spans="1:13" x14ac:dyDescent="0.25">
      <c r="I71" s="38"/>
    </row>
    <row r="73" spans="1:13" x14ac:dyDescent="0.25">
      <c r="I73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23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62"/>
  <sheetViews>
    <sheetView showZeros="0" topLeftCell="A16" zoomScale="80" zoomScaleNormal="80" workbookViewId="0">
      <selection activeCell="R12" sqref="R12"/>
    </sheetView>
  </sheetViews>
  <sheetFormatPr baseColWidth="10" defaultColWidth="9" defaultRowHeight="15.75" x14ac:dyDescent="0.25"/>
  <cols>
    <col min="1" max="1" width="18.75" style="14" customWidth="1"/>
    <col min="2" max="2" width="17.25" customWidth="1"/>
    <col min="3" max="3" width="12.625" customWidth="1"/>
    <col min="4" max="5" width="11.75" customWidth="1"/>
    <col min="6" max="8" width="9.25" customWidth="1"/>
    <col min="9" max="9" width="13" customWidth="1"/>
    <col min="10" max="10" width="11.125" customWidth="1"/>
    <col min="11" max="12" width="9.25" customWidth="1"/>
    <col min="13" max="13" width="10.125" customWidth="1"/>
  </cols>
  <sheetData>
    <row r="2" spans="1:13" ht="20.25" x14ac:dyDescent="0.3">
      <c r="A2" s="20" t="str">
        <f>"MÅLESTATISTIKK FOR TØMRERE - 1. HALVÅR "&amp;FORS!$A$14</f>
        <v>MÅLESTATISTIKK FOR TØMRERE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79">
        <v>3407196</v>
      </c>
      <c r="C7" s="59"/>
      <c r="D7" s="142">
        <v>12065</v>
      </c>
      <c r="E7" s="21"/>
      <c r="F7" s="6">
        <f>IF(D7=0,0,B7/D7)</f>
        <v>282.40331537505182</v>
      </c>
      <c r="G7" s="6">
        <f>IF(E7=0,0,C7/E7)</f>
        <v>0</v>
      </c>
      <c r="H7" s="6">
        <f>IF(D7+E7=0,0,(B7+C7)/(D7+E7))</f>
        <v>282.40331537505182</v>
      </c>
      <c r="I7" s="4">
        <v>3858234</v>
      </c>
      <c r="J7" s="4"/>
      <c r="K7" s="6">
        <v>267.49</v>
      </c>
      <c r="L7" s="19">
        <f>IF(I7=0,0,(B7-I7)/I7)</f>
        <v>-0.11690270730080135</v>
      </c>
      <c r="M7" s="19">
        <f>IF(K7=0,0,(H7-K7)/K7)</f>
        <v>5.5752795899105791E-2</v>
      </c>
    </row>
    <row r="8" spans="1:13" x14ac:dyDescent="0.25">
      <c r="A8" s="17" t="s">
        <v>7</v>
      </c>
      <c r="B8" s="77">
        <v>608630.728</v>
      </c>
      <c r="C8" s="77"/>
      <c r="D8" s="80">
        <v>2261.9299999999998</v>
      </c>
      <c r="E8" s="21"/>
      <c r="F8" s="6">
        <f t="shared" ref="F8:F14" si="0">IF(D8=0,0,B8/D8)</f>
        <v>269.07584584845688</v>
      </c>
      <c r="G8" s="6">
        <f t="shared" ref="G8:G14" si="1">IF(E8=0,0,C8/E8)</f>
        <v>0</v>
      </c>
      <c r="H8" s="6">
        <f t="shared" ref="H8:H14" si="2">IF(D8+E8=0,0,(B8+C8)/(D8+E8))</f>
        <v>269.07584584845688</v>
      </c>
      <c r="I8" s="4">
        <v>5272744.75</v>
      </c>
      <c r="J8" s="4"/>
      <c r="K8" s="6">
        <v>260.14999999999998</v>
      </c>
      <c r="L8" s="19">
        <f t="shared" ref="L8:L22" si="3">IF(I8=0,0,(B8-I8)/I8)</f>
        <v>-0.88457041695409211</v>
      </c>
      <c r="M8" s="19">
        <f t="shared" ref="M8:M22" si="4">IF(K8=0,0,(H8-K8)/K8)</f>
        <v>3.4310381889128973E-2</v>
      </c>
    </row>
    <row r="9" spans="1:13" x14ac:dyDescent="0.25">
      <c r="A9" s="17" t="s">
        <v>26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4"/>
      <c r="J9" s="4"/>
      <c r="K9" s="6">
        <v>0</v>
      </c>
      <c r="L9" s="19">
        <f t="shared" si="3"/>
        <v>0</v>
      </c>
      <c r="M9" s="19">
        <f t="shared" si="4"/>
        <v>0</v>
      </c>
    </row>
    <row r="10" spans="1:13" x14ac:dyDescent="0.25">
      <c r="A10" s="17" t="s">
        <v>8</v>
      </c>
      <c r="B10" s="21"/>
      <c r="C10" s="21"/>
      <c r="D10" s="21"/>
      <c r="E10" s="21"/>
      <c r="F10" s="6">
        <f t="shared" si="0"/>
        <v>0</v>
      </c>
      <c r="G10" s="6">
        <f t="shared" si="1"/>
        <v>0</v>
      </c>
      <c r="H10" s="6">
        <f t="shared" si="2"/>
        <v>0</v>
      </c>
      <c r="I10" s="4"/>
      <c r="J10" s="4"/>
      <c r="K10" s="6"/>
      <c r="L10" s="19"/>
      <c r="M10" s="19"/>
    </row>
    <row r="11" spans="1:13" x14ac:dyDescent="0.25">
      <c r="A11" s="17" t="s">
        <v>10</v>
      </c>
      <c r="B11" s="62">
        <v>3602527.26</v>
      </c>
      <c r="C11" s="62">
        <v>468965</v>
      </c>
      <c r="D11" s="62">
        <v>14092.55</v>
      </c>
      <c r="E11" s="21">
        <v>2295</v>
      </c>
      <c r="F11" s="6">
        <f t="shared" si="0"/>
        <v>255.6334559749655</v>
      </c>
      <c r="G11" s="6">
        <f t="shared" si="1"/>
        <v>204.34204793028323</v>
      </c>
      <c r="H11" s="6">
        <f t="shared" si="2"/>
        <v>248.45033333231629</v>
      </c>
      <c r="I11" s="131">
        <v>8561908.0500000007</v>
      </c>
      <c r="J11" s="4">
        <v>396393.59</v>
      </c>
      <c r="K11" s="6">
        <v>311.94</v>
      </c>
      <c r="L11" s="19">
        <f>IF(I11=0,0,(B11-I11)/I11)</f>
        <v>-0.57923780085444865</v>
      </c>
      <c r="M11" s="19">
        <f>IF(K11=0,0,(H11-K11)/K11)</f>
        <v>-0.20353166207502632</v>
      </c>
    </row>
    <row r="12" spans="1:13" x14ac:dyDescent="0.25">
      <c r="A12" s="17" t="s">
        <v>11</v>
      </c>
      <c r="B12" s="21"/>
      <c r="C12" s="21"/>
      <c r="D12" s="21"/>
      <c r="E12" s="21"/>
      <c r="F12" s="6">
        <f t="shared" si="0"/>
        <v>0</v>
      </c>
      <c r="G12" s="6">
        <f t="shared" si="1"/>
        <v>0</v>
      </c>
      <c r="H12" s="6">
        <f t="shared" si="2"/>
        <v>0</v>
      </c>
      <c r="I12" s="4"/>
      <c r="J12" s="4"/>
      <c r="K12" s="6"/>
      <c r="L12" s="19">
        <f t="shared" si="3"/>
        <v>0</v>
      </c>
      <c r="M12" s="19">
        <f t="shared" si="4"/>
        <v>0</v>
      </c>
    </row>
    <row r="13" spans="1:13" x14ac:dyDescent="0.25">
      <c r="A13" s="17" t="s">
        <v>13</v>
      </c>
      <c r="B13" s="21"/>
      <c r="C13" s="21"/>
      <c r="D13" s="21"/>
      <c r="E13" s="21"/>
      <c r="F13" s="6">
        <f t="shared" si="0"/>
        <v>0</v>
      </c>
      <c r="G13" s="6">
        <f t="shared" si="1"/>
        <v>0</v>
      </c>
      <c r="H13" s="6">
        <f t="shared" si="2"/>
        <v>0</v>
      </c>
      <c r="I13" s="4"/>
      <c r="J13" s="4"/>
      <c r="K13" s="6"/>
      <c r="L13" s="19">
        <f t="shared" si="3"/>
        <v>0</v>
      </c>
      <c r="M13" s="19">
        <f t="shared" si="4"/>
        <v>0</v>
      </c>
    </row>
    <row r="14" spans="1:13" x14ac:dyDescent="0.25">
      <c r="A14" s="17" t="s">
        <v>14</v>
      </c>
      <c r="B14" s="70">
        <v>15434444</v>
      </c>
      <c r="C14" s="140"/>
      <c r="D14" s="142">
        <v>52697</v>
      </c>
      <c r="E14" s="78"/>
      <c r="F14" s="6">
        <f t="shared" si="0"/>
        <v>292.89037326603034</v>
      </c>
      <c r="G14" s="6">
        <f t="shared" si="1"/>
        <v>0</v>
      </c>
      <c r="H14" s="6">
        <f t="shared" si="2"/>
        <v>292.89037326603034</v>
      </c>
      <c r="I14" s="4">
        <v>12825809</v>
      </c>
      <c r="J14" s="4">
        <v>138352</v>
      </c>
      <c r="K14" s="6">
        <v>269.31</v>
      </c>
      <c r="L14" s="19">
        <f t="shared" si="3"/>
        <v>0.20338950938689326</v>
      </c>
      <c r="M14" s="19">
        <f t="shared" si="4"/>
        <v>8.755847635078659E-2</v>
      </c>
    </row>
    <row r="15" spans="1:13" x14ac:dyDescent="0.25">
      <c r="A15" s="17" t="s">
        <v>16</v>
      </c>
      <c r="B15" s="65">
        <v>69986011</v>
      </c>
      <c r="C15" s="64">
        <v>3310472</v>
      </c>
      <c r="D15" s="56">
        <v>244766</v>
      </c>
      <c r="E15" s="4">
        <v>15817</v>
      </c>
      <c r="F15" s="6">
        <f>IF(D15=0,0,B15/D15)</f>
        <v>285.93028034939493</v>
      </c>
      <c r="G15" s="6">
        <f t="shared" ref="G15:G19" si="5">IF(E15=0,0,C15/E15)</f>
        <v>209.29834987671492</v>
      </c>
      <c r="H15" s="6">
        <f t="shared" ref="H15:H19" si="6">IF(D15+E15=0,0,(B15+C15)/(D15+E15))</f>
        <v>281.27883630167742</v>
      </c>
      <c r="I15" s="4">
        <v>63949242</v>
      </c>
      <c r="J15" s="4">
        <v>7714029</v>
      </c>
      <c r="K15" s="6">
        <v>272.24</v>
      </c>
      <c r="L15" s="19">
        <f>IF(I15=0,0,(B15-I15)/I15)</f>
        <v>9.4399383185808525E-2</v>
      </c>
      <c r="M15" s="19">
        <f>IF(K15=0,0,(H15-K15)/K15)</f>
        <v>3.320172017953793E-2</v>
      </c>
    </row>
    <row r="16" spans="1:13" x14ac:dyDescent="0.25">
      <c r="A16" s="17" t="s">
        <v>15</v>
      </c>
      <c r="B16" s="66"/>
      <c r="C16" s="21"/>
      <c r="D16" s="69"/>
      <c r="E16" s="21"/>
      <c r="F16" s="6">
        <f t="shared" ref="F16:F17" si="7">IF(D16=0,0,B16/D16)</f>
        <v>0</v>
      </c>
      <c r="G16" s="6">
        <f t="shared" si="5"/>
        <v>0</v>
      </c>
      <c r="H16" s="6">
        <f t="shared" si="6"/>
        <v>0</v>
      </c>
      <c r="I16" s="4"/>
      <c r="J16" s="4"/>
      <c r="K16" s="6"/>
      <c r="L16" s="19">
        <f t="shared" ref="L16:L19" si="8">IF(I16=0,0,(B16-I16)/I16)</f>
        <v>0</v>
      </c>
      <c r="M16" s="19">
        <f t="shared" ref="M16" si="9">IF(K16=0,0,(H16-K16)/K16)</f>
        <v>0</v>
      </c>
    </row>
    <row r="17" spans="1:18" x14ac:dyDescent="0.25">
      <c r="A17" s="17" t="s">
        <v>17</v>
      </c>
      <c r="B17" s="67">
        <v>2245056</v>
      </c>
      <c r="C17" s="70">
        <v>379041</v>
      </c>
      <c r="D17" s="143">
        <v>8266</v>
      </c>
      <c r="E17" s="144">
        <v>1946</v>
      </c>
      <c r="F17" s="6">
        <f t="shared" si="7"/>
        <v>271.60125816598111</v>
      </c>
      <c r="G17" s="6">
        <f t="shared" si="5"/>
        <v>194.77954779033917</v>
      </c>
      <c r="H17" s="6">
        <f t="shared" si="6"/>
        <v>256.96210340775559</v>
      </c>
      <c r="I17" s="4">
        <v>4939638</v>
      </c>
      <c r="J17" s="4"/>
      <c r="K17" s="6">
        <v>306.14</v>
      </c>
      <c r="L17" s="19">
        <f t="shared" si="8"/>
        <v>-0.54550191734697973</v>
      </c>
      <c r="M17" s="19">
        <f>IF(K17=0,0,(H17-K17)/K17)</f>
        <v>-0.16063858558909125</v>
      </c>
    </row>
    <row r="18" spans="1:18" x14ac:dyDescent="0.25">
      <c r="A18" s="17" t="s">
        <v>18</v>
      </c>
      <c r="B18" s="79">
        <v>5937413</v>
      </c>
      <c r="C18" s="130">
        <v>81752</v>
      </c>
      <c r="D18" s="142">
        <v>20632</v>
      </c>
      <c r="E18" s="145">
        <v>395.5</v>
      </c>
      <c r="F18" s="6">
        <f t="shared" ref="F18:F19" si="10">IF(D18=0,0,B18/D18)</f>
        <v>287.7768999612253</v>
      </c>
      <c r="G18" s="6">
        <f t="shared" si="5"/>
        <v>206.7054361567636</v>
      </c>
      <c r="H18" s="6">
        <f t="shared" si="6"/>
        <v>286.25205088574484</v>
      </c>
      <c r="I18" s="4">
        <v>4100973.4</v>
      </c>
      <c r="J18" s="4">
        <v>43460</v>
      </c>
      <c r="K18" s="6">
        <v>269.82</v>
      </c>
      <c r="L18" s="19">
        <f t="shared" si="8"/>
        <v>0.44780578191509368</v>
      </c>
      <c r="M18" s="19">
        <f t="shared" ref="M18" si="11">IF(K18=0,0,(H18-K18)/K18)</f>
        <v>6.090004775681878E-2</v>
      </c>
      <c r="R18" s="124"/>
    </row>
    <row r="19" spans="1:18" x14ac:dyDescent="0.25">
      <c r="A19" s="42" t="s">
        <v>19</v>
      </c>
      <c r="B19" s="141">
        <v>34751903.240000002</v>
      </c>
      <c r="C19" s="129">
        <v>5464376.7400000002</v>
      </c>
      <c r="D19" s="104">
        <v>99787.7</v>
      </c>
      <c r="E19" s="146">
        <v>23887.5</v>
      </c>
      <c r="F19" s="6">
        <f t="shared" si="10"/>
        <v>348.25838495125151</v>
      </c>
      <c r="G19" s="6">
        <f t="shared" si="5"/>
        <v>228.75465159602302</v>
      </c>
      <c r="H19" s="6">
        <f t="shared" si="6"/>
        <v>325.17659142657544</v>
      </c>
      <c r="I19" s="4">
        <v>43848096.32</v>
      </c>
      <c r="J19" s="4"/>
      <c r="K19" s="123" t="s">
        <v>36</v>
      </c>
      <c r="L19" s="19">
        <f t="shared" si="8"/>
        <v>-0.20744784479619566</v>
      </c>
      <c r="M19" s="19" t="e">
        <f>IF(K19=0,0,(H19-K19)/K19)</f>
        <v>#VALUE!</v>
      </c>
    </row>
    <row r="20" spans="1:18" s="11" customFormat="1" x14ac:dyDescent="0.25">
      <c r="A20" s="18" t="s">
        <v>20</v>
      </c>
      <c r="B20" s="68">
        <f>SUM(B7:B19)</f>
        <v>135973181.22800002</v>
      </c>
      <c r="C20" s="63">
        <f>SUM(C7:C19)</f>
        <v>9704606.7400000002</v>
      </c>
      <c r="D20" s="71">
        <f>SUM(D7:D19)</f>
        <v>454568.18</v>
      </c>
      <c r="E20" s="63">
        <f>SUM(E7:E19)</f>
        <v>44341</v>
      </c>
      <c r="F20" s="9">
        <f>IF(D20=0,0,B20/D20)</f>
        <v>299.12604359592444</v>
      </c>
      <c r="G20" s="9">
        <f>IF(E20=0,0,C20/E20)</f>
        <v>218.86305541147021</v>
      </c>
      <c r="H20" s="9">
        <f>IF(D20+E20=0,0,(B20+C20)/(D20+E20))</f>
        <v>291.99259866896023</v>
      </c>
      <c r="I20" s="8">
        <f>SUM(I7:I19)</f>
        <v>147356645.52000001</v>
      </c>
      <c r="J20" s="8">
        <f>SUM(J7:J19)</f>
        <v>8292234.5899999999</v>
      </c>
      <c r="K20" s="9">
        <v>284.38</v>
      </c>
      <c r="L20" s="32">
        <f t="shared" si="3"/>
        <v>-7.7251109047911742E-2</v>
      </c>
      <c r="M20" s="19">
        <f>IF(K20=0,0,(H20-K20)/K20)</f>
        <v>2.6769107071384173E-2</v>
      </c>
    </row>
    <row r="21" spans="1:18" x14ac:dyDescent="0.25">
      <c r="A21" s="43"/>
      <c r="L21" s="57">
        <f t="shared" si="3"/>
        <v>0</v>
      </c>
      <c r="M21" s="57">
        <f t="shared" si="4"/>
        <v>0</v>
      </c>
    </row>
    <row r="22" spans="1:18" x14ac:dyDescent="0.25">
      <c r="L22" s="57">
        <f t="shared" si="3"/>
        <v>0</v>
      </c>
      <c r="M22" s="57">
        <f t="shared" si="4"/>
        <v>0</v>
      </c>
    </row>
    <row r="23" spans="1:18" ht="20.25" x14ac:dyDescent="0.3">
      <c r="A23" s="20" t="str">
        <f>"MÅLESTATISTIKK FOR TØMRERE - 2. HALVÅR "&amp;FORS!$A$14</f>
        <v>MÅLESTATISTIKK FOR TØMRERE - 2. HALVÅR 2017</v>
      </c>
    </row>
    <row r="24" spans="1:18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8" x14ac:dyDescent="0.25">
      <c r="A25" s="15"/>
      <c r="B25" s="2" t="s">
        <v>4</v>
      </c>
      <c r="C25" s="3"/>
      <c r="D25" s="2" t="s">
        <v>5</v>
      </c>
      <c r="E25" s="3"/>
      <c r="F25" s="2" t="str">
        <f>"Fortjeneste 2. halvår  "&amp;FORS!$A$14-0</f>
        <v>Fortjeneste 2. halvår  2017</v>
      </c>
      <c r="G25" s="5"/>
      <c r="H25" s="3"/>
      <c r="I25" s="2" t="str">
        <f>" 2. halvår  "&amp;FORS!$A$14-1</f>
        <v xml:space="preserve"> 2. halvår  2016</v>
      </c>
      <c r="J25" s="5"/>
      <c r="K25" s="3"/>
      <c r="L25" s="46" t="s">
        <v>29</v>
      </c>
      <c r="M25" s="3"/>
    </row>
    <row r="26" spans="1:18" x14ac:dyDescent="0.25">
      <c r="A26" s="47"/>
      <c r="B26" s="48" t="s">
        <v>6</v>
      </c>
      <c r="C26" s="48" t="s">
        <v>6</v>
      </c>
      <c r="D26" s="48" t="s">
        <v>6</v>
      </c>
      <c r="E26" s="48" t="s">
        <v>6</v>
      </c>
      <c r="F26" s="48" t="s">
        <v>6</v>
      </c>
      <c r="G26" s="48" t="s">
        <v>6</v>
      </c>
      <c r="H26" s="49" t="s">
        <v>33</v>
      </c>
      <c r="I26" s="48" t="s">
        <v>6</v>
      </c>
      <c r="J26" s="48" t="s">
        <v>6</v>
      </c>
      <c r="K26" s="49" t="s">
        <v>31</v>
      </c>
      <c r="L26" s="48" t="s">
        <v>6</v>
      </c>
      <c r="M26" s="49" t="s">
        <v>31</v>
      </c>
    </row>
    <row r="27" spans="1:18" x14ac:dyDescent="0.25">
      <c r="A27" s="51"/>
      <c r="B27" s="52" t="s">
        <v>30</v>
      </c>
      <c r="C27" s="52" t="s">
        <v>32</v>
      </c>
      <c r="D27" s="52" t="s">
        <v>30</v>
      </c>
      <c r="E27" s="52" t="s">
        <v>32</v>
      </c>
      <c r="F27" s="52" t="s">
        <v>30</v>
      </c>
      <c r="G27" s="52" t="s">
        <v>32</v>
      </c>
      <c r="H27" s="53" t="s">
        <v>34</v>
      </c>
      <c r="I27" s="52" t="s">
        <v>30</v>
      </c>
      <c r="J27" s="52" t="s">
        <v>32</v>
      </c>
      <c r="K27" s="53" t="s">
        <v>28</v>
      </c>
      <c r="L27" s="52" t="s">
        <v>30</v>
      </c>
      <c r="M27" s="53" t="s">
        <v>28</v>
      </c>
    </row>
    <row r="28" spans="1:18" x14ac:dyDescent="0.25">
      <c r="A28" s="17" t="s">
        <v>25</v>
      </c>
      <c r="B28" s="79">
        <v>1135199</v>
      </c>
      <c r="C28" s="59"/>
      <c r="D28" s="81">
        <v>3521</v>
      </c>
      <c r="E28" s="99"/>
      <c r="F28" s="6">
        <f t="shared" ref="F28:F39" si="12">IF(D28=0,0,B28/D28)</f>
        <v>322.40812269241695</v>
      </c>
      <c r="G28" s="6">
        <f t="shared" ref="G28:G40" si="13">IF(E28=0,0,C28/E28)</f>
        <v>0</v>
      </c>
      <c r="H28" s="6">
        <f t="shared" ref="H28:H39" si="14">IF(D28+E28=0,0,(B28+C28)/(D28+E28))</f>
        <v>322.40812269241695</v>
      </c>
      <c r="I28" s="4">
        <v>3894027</v>
      </c>
      <c r="J28" s="4">
        <v>1075528</v>
      </c>
      <c r="K28" s="6">
        <v>259.49</v>
      </c>
      <c r="L28" s="19">
        <f>IF(I28=0,0,(B28-I28)/I28)</f>
        <v>-0.70847685442345421</v>
      </c>
      <c r="M28" s="19">
        <f>IF(K28=0,0,(H28-K28)/K28)</f>
        <v>0.24246839066020634</v>
      </c>
    </row>
    <row r="29" spans="1:18" x14ac:dyDescent="0.25">
      <c r="A29" s="17" t="s">
        <v>7</v>
      </c>
      <c r="B29" s="77">
        <v>3267203.13</v>
      </c>
      <c r="C29" s="77"/>
      <c r="D29" s="77">
        <v>12682.46</v>
      </c>
      <c r="E29" s="21"/>
      <c r="F29" s="6">
        <f>IF(D29=0,0,B29/D29)</f>
        <v>257.61588288076604</v>
      </c>
      <c r="G29" s="6">
        <f t="shared" si="13"/>
        <v>0</v>
      </c>
      <c r="H29" s="6">
        <f t="shared" si="14"/>
        <v>257.61588288076604</v>
      </c>
      <c r="I29" s="4">
        <v>6037250.9699999997</v>
      </c>
      <c r="J29" s="4"/>
      <c r="K29" s="6">
        <v>246.31</v>
      </c>
      <c r="L29" s="19">
        <f t="shared" ref="L29:L41" si="15">IF(I29=0,0,(B29-I29)/I29)</f>
        <v>-0.45882602094310482</v>
      </c>
      <c r="M29" s="19">
        <f t="shared" ref="M29:M41" si="16">IF(K29=0,0,(H29-K29)/K29)</f>
        <v>4.5901030736738395E-2</v>
      </c>
    </row>
    <row r="30" spans="1:18" x14ac:dyDescent="0.25">
      <c r="A30" s="17" t="s">
        <v>26</v>
      </c>
      <c r="B30" s="69"/>
      <c r="C30" s="69"/>
      <c r="D30" s="69"/>
      <c r="E30" s="21"/>
      <c r="F30" s="6">
        <f>IF(D30=0,0,B30/D30)</f>
        <v>0</v>
      </c>
      <c r="G30" s="6">
        <f t="shared" si="13"/>
        <v>0</v>
      </c>
      <c r="H30" s="6">
        <f t="shared" si="14"/>
        <v>0</v>
      </c>
      <c r="I30" s="4"/>
      <c r="J30" s="4"/>
      <c r="K30" s="6"/>
      <c r="L30" s="60"/>
      <c r="M30" s="19">
        <f t="shared" si="16"/>
        <v>0</v>
      </c>
    </row>
    <row r="31" spans="1:18" x14ac:dyDescent="0.25">
      <c r="A31" s="17"/>
      <c r="B31" s="21"/>
      <c r="C31" s="21"/>
      <c r="D31" s="21"/>
      <c r="E31" s="21"/>
      <c r="F31" s="6">
        <f t="shared" si="12"/>
        <v>0</v>
      </c>
      <c r="G31" s="6">
        <f t="shared" si="13"/>
        <v>0</v>
      </c>
      <c r="H31" s="6">
        <f t="shared" si="14"/>
        <v>0</v>
      </c>
      <c r="I31" s="4"/>
      <c r="J31" s="4"/>
      <c r="K31" s="6"/>
      <c r="M31" s="19">
        <f t="shared" si="16"/>
        <v>0</v>
      </c>
    </row>
    <row r="32" spans="1:18" x14ac:dyDescent="0.25">
      <c r="A32" s="17" t="s">
        <v>10</v>
      </c>
      <c r="B32" s="62">
        <v>7245379.2000000002</v>
      </c>
      <c r="C32" s="62"/>
      <c r="D32" s="62">
        <v>29973.75</v>
      </c>
      <c r="E32" s="21"/>
      <c r="F32" s="6">
        <f t="shared" si="12"/>
        <v>241.7241486300513</v>
      </c>
      <c r="G32" s="6">
        <f t="shared" si="13"/>
        <v>0</v>
      </c>
      <c r="H32" s="6">
        <f t="shared" si="14"/>
        <v>241.7241486300513</v>
      </c>
      <c r="I32" s="4">
        <v>3223014.72</v>
      </c>
      <c r="J32" s="4">
        <v>2315729.34</v>
      </c>
      <c r="K32" s="6">
        <v>196.87</v>
      </c>
      <c r="L32" s="19">
        <f>IF(I32=0,0,(B32-I32)/I32)</f>
        <v>1.2480130652335337</v>
      </c>
      <c r="M32" s="19">
        <f t="shared" si="16"/>
        <v>0.2278363825369599</v>
      </c>
    </row>
    <row r="33" spans="1:13" x14ac:dyDescent="0.25">
      <c r="A33" s="17" t="s">
        <v>11</v>
      </c>
      <c r="B33" s="21"/>
      <c r="C33" s="21"/>
      <c r="D33" s="21"/>
      <c r="E33" s="21"/>
      <c r="F33" s="6">
        <f t="shared" si="12"/>
        <v>0</v>
      </c>
      <c r="G33" s="6">
        <f t="shared" si="13"/>
        <v>0</v>
      </c>
      <c r="H33" s="6">
        <f t="shared" si="14"/>
        <v>0</v>
      </c>
      <c r="I33" s="4"/>
      <c r="J33" s="4"/>
      <c r="K33" s="6"/>
      <c r="M33" s="19">
        <f t="shared" si="16"/>
        <v>0</v>
      </c>
    </row>
    <row r="34" spans="1:13" x14ac:dyDescent="0.25">
      <c r="A34" s="17" t="s">
        <v>13</v>
      </c>
      <c r="B34" s="21"/>
      <c r="C34" s="21"/>
      <c r="D34" s="21"/>
      <c r="E34" s="21"/>
      <c r="F34" s="6">
        <f t="shared" si="12"/>
        <v>0</v>
      </c>
      <c r="G34" s="6">
        <f t="shared" si="13"/>
        <v>0</v>
      </c>
      <c r="H34" s="6">
        <f t="shared" si="14"/>
        <v>0</v>
      </c>
      <c r="I34" s="4"/>
      <c r="J34" s="4"/>
      <c r="K34" s="6"/>
      <c r="L34" s="19">
        <f t="shared" si="15"/>
        <v>0</v>
      </c>
      <c r="M34" s="19">
        <f t="shared" si="16"/>
        <v>0</v>
      </c>
    </row>
    <row r="35" spans="1:13" x14ac:dyDescent="0.25">
      <c r="A35" s="17" t="s">
        <v>14</v>
      </c>
      <c r="B35" s="62">
        <v>8152449</v>
      </c>
      <c r="C35" s="62">
        <v>2613000</v>
      </c>
      <c r="D35" s="159">
        <v>28445</v>
      </c>
      <c r="E35" s="160">
        <v>12226</v>
      </c>
      <c r="F35" s="6">
        <f t="shared" si="12"/>
        <v>286.60393742309719</v>
      </c>
      <c r="G35" s="6">
        <f t="shared" si="13"/>
        <v>213.7248486831343</v>
      </c>
      <c r="H35" s="6">
        <f t="shared" si="14"/>
        <v>264.69595043151139</v>
      </c>
      <c r="I35" s="4">
        <v>13084266.380000001</v>
      </c>
      <c r="J35" s="4">
        <v>179280</v>
      </c>
      <c r="K35" s="6">
        <v>283.8</v>
      </c>
      <c r="L35" s="19">
        <f>IF(I35=0,0,(B35-I35)/I35)</f>
        <v>-0.37692731382621092</v>
      </c>
      <c r="M35" s="19">
        <f>IF(K35=0,0,(H36-K35)/K35)</f>
        <v>4.7530558718544898E-2</v>
      </c>
    </row>
    <row r="36" spans="1:13" x14ac:dyDescent="0.25">
      <c r="A36" s="17" t="s">
        <v>16</v>
      </c>
      <c r="B36" s="158">
        <v>83255433</v>
      </c>
      <c r="C36" s="116">
        <v>2144152</v>
      </c>
      <c r="D36" s="21">
        <v>273087</v>
      </c>
      <c r="E36" s="21">
        <v>14174</v>
      </c>
      <c r="F36" s="6">
        <f t="shared" si="12"/>
        <v>304.86780037131024</v>
      </c>
      <c r="G36" s="6">
        <f t="shared" si="13"/>
        <v>151.27359954846904</v>
      </c>
      <c r="H36" s="6">
        <f t="shared" si="14"/>
        <v>297.28917256432305</v>
      </c>
      <c r="I36" s="4">
        <v>95137382</v>
      </c>
      <c r="J36" s="4">
        <v>4282432</v>
      </c>
      <c r="K36" s="6">
        <v>291.33</v>
      </c>
      <c r="L36" s="19">
        <f>IF(I36=0,0,(B36-I36)/I36)</f>
        <v>-0.12489253698404272</v>
      </c>
      <c r="M36" s="19">
        <f>IF(K36=0,0,(H36/K36)/K36)</f>
        <v>3.5027462320229579E-3</v>
      </c>
    </row>
    <row r="37" spans="1:13" x14ac:dyDescent="0.25">
      <c r="A37" s="17"/>
      <c r="B37" s="21"/>
      <c r="C37" s="21"/>
      <c r="D37" s="21"/>
      <c r="E37" s="21"/>
      <c r="F37" s="6">
        <f t="shared" si="12"/>
        <v>0</v>
      </c>
      <c r="G37" s="6">
        <f t="shared" si="13"/>
        <v>0</v>
      </c>
      <c r="H37" s="6">
        <f t="shared" si="14"/>
        <v>0</v>
      </c>
      <c r="I37" s="4"/>
      <c r="J37" s="4"/>
      <c r="K37" s="6">
        <v>0</v>
      </c>
      <c r="L37" s="19">
        <f t="shared" si="15"/>
        <v>0</v>
      </c>
      <c r="M37" s="19">
        <f t="shared" si="16"/>
        <v>0</v>
      </c>
    </row>
    <row r="38" spans="1:13" x14ac:dyDescent="0.25">
      <c r="A38" s="17" t="s">
        <v>17</v>
      </c>
      <c r="B38" s="161">
        <v>5080725</v>
      </c>
      <c r="C38" s="21"/>
      <c r="D38" s="162">
        <v>19198</v>
      </c>
      <c r="E38" s="21"/>
      <c r="F38" s="6">
        <f>IF(D38=0,0,B38/D38)</f>
        <v>264.64866131888738</v>
      </c>
      <c r="G38" s="6">
        <f t="shared" si="13"/>
        <v>0</v>
      </c>
      <c r="H38" s="6">
        <f t="shared" si="14"/>
        <v>264.64866131888738</v>
      </c>
      <c r="I38" s="4">
        <v>3605981</v>
      </c>
      <c r="J38" s="4">
        <v>1732422</v>
      </c>
      <c r="K38" s="6">
        <v>245.33</v>
      </c>
      <c r="L38" s="19">
        <f t="shared" si="15"/>
        <v>0.40897165015567194</v>
      </c>
      <c r="M38" s="19">
        <f t="shared" si="16"/>
        <v>7.8745613332602465E-2</v>
      </c>
    </row>
    <row r="39" spans="1:13" x14ac:dyDescent="0.25">
      <c r="A39" s="17" t="s">
        <v>18</v>
      </c>
      <c r="B39" s="62">
        <v>5976593.5</v>
      </c>
      <c r="C39" s="62"/>
      <c r="D39" s="21">
        <v>21153</v>
      </c>
      <c r="E39" s="21"/>
      <c r="F39" s="6">
        <f t="shared" si="12"/>
        <v>282.54117619250223</v>
      </c>
      <c r="G39" s="6">
        <f t="shared" si="13"/>
        <v>0</v>
      </c>
      <c r="H39" s="6">
        <f t="shared" si="14"/>
        <v>282.54117619250223</v>
      </c>
      <c r="I39" s="4">
        <v>3816941</v>
      </c>
      <c r="J39" s="4">
        <v>1185810</v>
      </c>
      <c r="K39" s="6">
        <v>244.78</v>
      </c>
      <c r="L39" s="19">
        <f t="shared" si="15"/>
        <v>0.56580714766091489</v>
      </c>
      <c r="M39" s="19">
        <f t="shared" si="16"/>
        <v>0.15426577413392528</v>
      </c>
    </row>
    <row r="40" spans="1:13" x14ac:dyDescent="0.25">
      <c r="A40" s="17" t="s">
        <v>19</v>
      </c>
      <c r="B40" s="70">
        <v>38983352.170000002</v>
      </c>
      <c r="C40" s="130"/>
      <c r="D40" s="70">
        <v>124836</v>
      </c>
      <c r="E40" s="21"/>
      <c r="F40" s="6">
        <f>IF(D40=0,0,B40/D40)</f>
        <v>312.27652415969754</v>
      </c>
      <c r="G40" s="6">
        <f t="shared" si="13"/>
        <v>0</v>
      </c>
      <c r="H40" s="6">
        <f>IF(D40+E40=0,0,(B40+C40)/(D40+E40))</f>
        <v>312.27652415969754</v>
      </c>
      <c r="I40" s="4">
        <v>43016139.350000001</v>
      </c>
      <c r="J40" s="4"/>
      <c r="K40" s="6">
        <v>328.29</v>
      </c>
      <c r="L40" s="19">
        <f t="shared" si="15"/>
        <v>-9.3750560625334212E-2</v>
      </c>
      <c r="M40" s="19">
        <f t="shared" si="16"/>
        <v>-4.8778445399806497E-2</v>
      </c>
    </row>
    <row r="41" spans="1:13" s="11" customFormat="1" x14ac:dyDescent="0.25">
      <c r="A41" s="18" t="s">
        <v>20</v>
      </c>
      <c r="B41" s="8">
        <f>SUM(B28:B40)</f>
        <v>153096334</v>
      </c>
      <c r="C41" s="8">
        <f>SUM(C28:C40)</f>
        <v>4757152</v>
      </c>
      <c r="D41" s="8">
        <f>SUM(D28:D40)</f>
        <v>512896.20999999996</v>
      </c>
      <c r="E41" s="8">
        <f>SUM(E28:E40)</f>
        <v>26400</v>
      </c>
      <c r="F41" s="9">
        <f>IF(D41=0,0,B41/D41)</f>
        <v>298.49379078078977</v>
      </c>
      <c r="G41" s="9">
        <f>IF(E41=0,0,C41/E41)</f>
        <v>180.19515151515151</v>
      </c>
      <c r="H41" s="9">
        <f>IF(D41+E41=0,0,(B41+C41)/(D41+E41))</f>
        <v>292.7027542062645</v>
      </c>
      <c r="I41" s="8">
        <f>SUM(I28:I40)</f>
        <v>171815002.41999999</v>
      </c>
      <c r="J41" s="8">
        <f>SUM(J28:J40)</f>
        <v>10771201.34</v>
      </c>
      <c r="K41" s="9">
        <v>288.43</v>
      </c>
      <c r="L41" s="32">
        <f t="shared" si="15"/>
        <v>-0.10894664701189712</v>
      </c>
      <c r="M41" s="32">
        <f t="shared" si="16"/>
        <v>1.4813834227592464E-2</v>
      </c>
    </row>
    <row r="44" spans="1:13" ht="20.25" x14ac:dyDescent="0.3">
      <c r="A44" s="20" t="str">
        <f>"MÅLESTATISTIKK FOR TØMRERE - GJENNOMSNITT HELE ÅRET  "&amp;FORS!$A$14</f>
        <v>MÅLESTATISTIKK FOR TØMRERE - GJENNOMSNITT HELE ÅRET  2017</v>
      </c>
    </row>
    <row r="45" spans="1:13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5"/>
      <c r="B46" s="2" t="s">
        <v>4</v>
      </c>
      <c r="C46" s="3"/>
      <c r="D46" s="2" t="s">
        <v>5</v>
      </c>
      <c r="E46" s="3"/>
      <c r="F46" s="2" t="str">
        <f>"Fortjeneste hele  "&amp;FORS!$A$14-0</f>
        <v>Fortjeneste hele  2017</v>
      </c>
      <c r="G46" s="5"/>
      <c r="H46" s="3"/>
      <c r="I46" s="2" t="str">
        <f>" Hele året  "&amp;FORS!$A$14-1</f>
        <v xml:space="preserve"> Hele året  2016</v>
      </c>
      <c r="J46" s="5"/>
      <c r="K46" s="3"/>
      <c r="L46" s="46" t="s">
        <v>29</v>
      </c>
      <c r="M46" s="3"/>
    </row>
    <row r="47" spans="1:13" x14ac:dyDescent="0.25">
      <c r="A47" s="47"/>
      <c r="B47" s="48" t="s">
        <v>6</v>
      </c>
      <c r="C47" s="48" t="s">
        <v>6</v>
      </c>
      <c r="D47" s="48" t="s">
        <v>6</v>
      </c>
      <c r="E47" s="48" t="s">
        <v>6</v>
      </c>
      <c r="F47" s="48" t="s">
        <v>6</v>
      </c>
      <c r="G47" s="48" t="s">
        <v>6</v>
      </c>
      <c r="H47" s="49" t="s">
        <v>33</v>
      </c>
      <c r="I47" s="48" t="s">
        <v>6</v>
      </c>
      <c r="J47" s="48" t="s">
        <v>6</v>
      </c>
      <c r="K47" s="49" t="s">
        <v>31</v>
      </c>
      <c r="L47" s="48" t="s">
        <v>6</v>
      </c>
      <c r="M47" s="49" t="s">
        <v>31</v>
      </c>
    </row>
    <row r="48" spans="1:13" x14ac:dyDescent="0.25">
      <c r="A48" s="51"/>
      <c r="B48" s="52" t="s">
        <v>30</v>
      </c>
      <c r="C48" s="52" t="s">
        <v>32</v>
      </c>
      <c r="D48" s="52" t="s">
        <v>30</v>
      </c>
      <c r="E48" s="52" t="s">
        <v>32</v>
      </c>
      <c r="F48" s="52" t="s">
        <v>30</v>
      </c>
      <c r="G48" s="52" t="s">
        <v>32</v>
      </c>
      <c r="H48" s="53" t="s">
        <v>34</v>
      </c>
      <c r="I48" s="52" t="s">
        <v>30</v>
      </c>
      <c r="J48" s="52" t="s">
        <v>32</v>
      </c>
      <c r="K48" s="53" t="s">
        <v>28</v>
      </c>
      <c r="L48" s="52" t="s">
        <v>30</v>
      </c>
      <c r="M48" s="53" t="s">
        <v>28</v>
      </c>
    </row>
    <row r="49" spans="1:13" x14ac:dyDescent="0.25">
      <c r="A49" s="42" t="s">
        <v>25</v>
      </c>
      <c r="B49" s="4">
        <f>B7+B28</f>
        <v>4542395</v>
      </c>
      <c r="C49" s="4">
        <f>C7+C28</f>
        <v>0</v>
      </c>
      <c r="D49" s="4">
        <f>D7+D28</f>
        <v>15586</v>
      </c>
      <c r="E49" s="4">
        <f>E7+E28</f>
        <v>0</v>
      </c>
      <c r="F49" s="6">
        <f>IF(D49=0,0,B49/D49)</f>
        <v>291.44071602720391</v>
      </c>
      <c r="G49" s="6">
        <f t="shared" ref="G49" si="17">IF(E49=0,0,C49/E49)</f>
        <v>0</v>
      </c>
      <c r="H49" s="6">
        <f t="shared" ref="H49" si="18">IF(D49+E49=0,0,(B49+C49)/(D49+E49))</f>
        <v>291.44071602720391</v>
      </c>
      <c r="I49" s="4">
        <f>I7+I28</f>
        <v>7752261</v>
      </c>
      <c r="J49" s="4">
        <f>J7+J28</f>
        <v>1075528</v>
      </c>
      <c r="K49" s="6">
        <v>263</v>
      </c>
      <c r="L49" s="19">
        <f>IF(I49=0,0,(B49-I49)/I49)</f>
        <v>-0.41405546072300714</v>
      </c>
      <c r="M49" s="19">
        <f>IF(K49=0,0,(H49-K49)/K49)</f>
        <v>0.10813960466617455</v>
      </c>
    </row>
    <row r="50" spans="1:13" x14ac:dyDescent="0.25">
      <c r="A50" s="17" t="s">
        <v>7</v>
      </c>
      <c r="B50" s="4">
        <f>B8+B29</f>
        <v>3875833.858</v>
      </c>
      <c r="C50" s="4"/>
      <c r="D50" s="4">
        <f>D8+D29</f>
        <v>14944.39</v>
      </c>
      <c r="E50" s="4"/>
      <c r="F50" s="6">
        <f t="shared" ref="F50:F58" si="19">IF(D50=0,0,B50/D50)</f>
        <v>259.35042233239363</v>
      </c>
      <c r="G50" s="6">
        <f t="shared" ref="G50:G61" si="20">IF(E50=0,0,C50/E50)</f>
        <v>0</v>
      </c>
      <c r="H50" s="6">
        <f t="shared" ref="H50:H53" si="21">IF(D50+E50=0,0,(B50+C50)/(D50+E50))</f>
        <v>259.35042233239363</v>
      </c>
      <c r="I50" s="4">
        <f>I8+I29</f>
        <v>11309995.719999999</v>
      </c>
      <c r="J50" s="4">
        <f t="shared" ref="I50:J62" si="22">J8+J29</f>
        <v>0</v>
      </c>
      <c r="K50" s="6">
        <v>245</v>
      </c>
      <c r="L50" s="19">
        <f t="shared" ref="L50:L62" si="23">IF(I50=0,0,(B50-I50)/I50)</f>
        <v>-0.65730898985698283</v>
      </c>
      <c r="M50" s="19">
        <f t="shared" ref="M50:M62" si="24">IF(K50=0,0,(H50-K50)/K50)</f>
        <v>5.8573152377116876E-2</v>
      </c>
    </row>
    <row r="51" spans="1:13" x14ac:dyDescent="0.25">
      <c r="A51" s="17" t="s">
        <v>26</v>
      </c>
      <c r="B51" s="4"/>
      <c r="C51" s="4"/>
      <c r="D51" s="4"/>
      <c r="E51" s="4"/>
      <c r="F51" s="6">
        <f t="shared" si="19"/>
        <v>0</v>
      </c>
      <c r="G51" s="6">
        <f t="shared" si="20"/>
        <v>0</v>
      </c>
      <c r="H51" s="6">
        <f t="shared" si="21"/>
        <v>0</v>
      </c>
      <c r="I51" s="4">
        <f t="shared" si="22"/>
        <v>0</v>
      </c>
      <c r="J51" s="4">
        <f t="shared" si="22"/>
        <v>0</v>
      </c>
      <c r="K51" s="6">
        <v>377</v>
      </c>
      <c r="L51" s="19">
        <f t="shared" si="23"/>
        <v>0</v>
      </c>
      <c r="M51" s="19">
        <f t="shared" si="24"/>
        <v>-1</v>
      </c>
    </row>
    <row r="52" spans="1:13" x14ac:dyDescent="0.25">
      <c r="A52" s="17"/>
      <c r="B52" s="4"/>
      <c r="C52" s="4"/>
      <c r="D52" s="4"/>
      <c r="E52" s="4"/>
      <c r="F52" s="6">
        <f t="shared" si="19"/>
        <v>0</v>
      </c>
      <c r="G52" s="6">
        <f t="shared" si="20"/>
        <v>0</v>
      </c>
      <c r="H52" s="6">
        <f t="shared" si="21"/>
        <v>0</v>
      </c>
      <c r="I52" s="4">
        <f>I10+I31</f>
        <v>0</v>
      </c>
      <c r="J52" s="4">
        <f t="shared" si="22"/>
        <v>0</v>
      </c>
      <c r="K52" s="6">
        <v>292</v>
      </c>
      <c r="L52" s="19">
        <f t="shared" si="23"/>
        <v>0</v>
      </c>
      <c r="M52" s="19">
        <f t="shared" si="24"/>
        <v>-1</v>
      </c>
    </row>
    <row r="53" spans="1:13" x14ac:dyDescent="0.25">
      <c r="A53" s="17" t="s">
        <v>10</v>
      </c>
      <c r="B53" s="4">
        <f>B11+B32</f>
        <v>10847906.460000001</v>
      </c>
      <c r="C53" s="4">
        <f>C11+C32</f>
        <v>468965</v>
      </c>
      <c r="D53" s="4">
        <f>D11+D32</f>
        <v>44066.3</v>
      </c>
      <c r="E53" s="4">
        <f>E11+E32</f>
        <v>2295</v>
      </c>
      <c r="F53" s="6">
        <f t="shared" si="19"/>
        <v>246.17239160083784</v>
      </c>
      <c r="G53" s="6">
        <f t="shared" si="20"/>
        <v>204.34204793028323</v>
      </c>
      <c r="H53" s="6">
        <f t="shared" si="21"/>
        <v>244.10168524178573</v>
      </c>
      <c r="I53" s="132">
        <f>I11+I32</f>
        <v>11784922.770000001</v>
      </c>
      <c r="J53" s="4">
        <f t="shared" si="22"/>
        <v>2712122.9299999997</v>
      </c>
      <c r="K53" s="6">
        <v>271</v>
      </c>
      <c r="L53" s="19">
        <f t="shared" si="23"/>
        <v>-7.9509753970156943E-2</v>
      </c>
      <c r="M53" s="19">
        <f>IF(K53=0,0,(H53-K53)/K53)</f>
        <v>-9.9255774015550816E-2</v>
      </c>
    </row>
    <row r="54" spans="1:13" x14ac:dyDescent="0.25">
      <c r="A54" s="17" t="s">
        <v>11</v>
      </c>
      <c r="B54" s="4"/>
      <c r="C54" s="4"/>
      <c r="D54" s="4"/>
      <c r="E54" s="4"/>
      <c r="F54" s="6">
        <f t="shared" si="19"/>
        <v>0</v>
      </c>
      <c r="G54" s="6">
        <f t="shared" si="20"/>
        <v>0</v>
      </c>
      <c r="H54" s="6">
        <f>IF(D54+E54=0,0,(B54+C54)/(D54+E54))</f>
        <v>0</v>
      </c>
      <c r="I54" s="125">
        <f t="shared" si="22"/>
        <v>0</v>
      </c>
      <c r="J54" s="4">
        <f t="shared" si="22"/>
        <v>0</v>
      </c>
      <c r="K54" s="6"/>
      <c r="L54" s="19"/>
      <c r="M54" s="19"/>
    </row>
    <row r="55" spans="1:13" x14ac:dyDescent="0.25">
      <c r="A55" s="17" t="s">
        <v>13</v>
      </c>
      <c r="B55" s="4"/>
      <c r="C55" s="4"/>
      <c r="D55" s="4"/>
      <c r="E55" s="4"/>
      <c r="F55" s="6">
        <f t="shared" si="19"/>
        <v>0</v>
      </c>
      <c r="G55" s="6">
        <f t="shared" si="20"/>
        <v>0</v>
      </c>
      <c r="H55" s="6">
        <f t="shared" ref="H55:H56" si="25">IF(D55+E55=0,0,(B55+C55)/(D55+E55))</f>
        <v>0</v>
      </c>
      <c r="I55" s="4">
        <f t="shared" si="22"/>
        <v>0</v>
      </c>
      <c r="J55" s="4">
        <f t="shared" si="22"/>
        <v>0</v>
      </c>
      <c r="K55" s="6">
        <v>308</v>
      </c>
      <c r="L55" s="19">
        <f t="shared" si="23"/>
        <v>0</v>
      </c>
      <c r="M55" s="19">
        <f t="shared" ref="M55:M57" si="26">IF(K55=0,0,(H55-K55)/K55)</f>
        <v>-1</v>
      </c>
    </row>
    <row r="56" spans="1:13" x14ac:dyDescent="0.25">
      <c r="A56" s="17" t="s">
        <v>14</v>
      </c>
      <c r="B56" s="4">
        <f>B14+B35</f>
        <v>23586893</v>
      </c>
      <c r="C56" s="4">
        <f>C14+C35</f>
        <v>2613000</v>
      </c>
      <c r="D56" s="4">
        <f t="shared" ref="D56:E57" si="27">D14+D35</f>
        <v>81142</v>
      </c>
      <c r="E56" s="4">
        <f t="shared" si="27"/>
        <v>12226</v>
      </c>
      <c r="F56" s="6">
        <f t="shared" si="19"/>
        <v>290.68661112617389</v>
      </c>
      <c r="G56" s="6">
        <f t="shared" si="20"/>
        <v>213.7248486831343</v>
      </c>
      <c r="H56" s="6">
        <f t="shared" si="25"/>
        <v>280.60891311798474</v>
      </c>
      <c r="I56" s="4">
        <f t="shared" si="22"/>
        <v>25910075.380000003</v>
      </c>
      <c r="J56" s="4">
        <f t="shared" si="22"/>
        <v>317632</v>
      </c>
      <c r="K56" s="6">
        <v>244</v>
      </c>
      <c r="L56" s="19">
        <f t="shared" si="23"/>
        <v>-8.9663281404162493E-2</v>
      </c>
      <c r="M56" s="19">
        <f>IF(K56=0,0,(H56-K56)/K56)</f>
        <v>0.15003652917206861</v>
      </c>
    </row>
    <row r="57" spans="1:13" x14ac:dyDescent="0.25">
      <c r="A57" s="17" t="s">
        <v>16</v>
      </c>
      <c r="B57" s="4">
        <f>B15+B36</f>
        <v>153241444</v>
      </c>
      <c r="C57" s="4">
        <f>C15+C36</f>
        <v>5454624</v>
      </c>
      <c r="D57" s="4">
        <f t="shared" si="27"/>
        <v>517853</v>
      </c>
      <c r="E57" s="4">
        <f t="shared" si="27"/>
        <v>29991</v>
      </c>
      <c r="F57" s="6">
        <f>IF(D57=0,0,B57/D57)</f>
        <v>295.91687988676324</v>
      </c>
      <c r="G57" s="6">
        <f t="shared" si="20"/>
        <v>181.87536260878264</v>
      </c>
      <c r="H57" s="6">
        <f>IF(D57+E57=0,0,(B57+C57)/(D57+E57))</f>
        <v>289.67382685582027</v>
      </c>
      <c r="I57" s="4">
        <f t="shared" si="22"/>
        <v>159086624</v>
      </c>
      <c r="J57" s="4">
        <f t="shared" si="22"/>
        <v>11996461</v>
      </c>
      <c r="K57" s="6">
        <v>273</v>
      </c>
      <c r="L57" s="19">
        <f>IF(I57=0,0,(B57-I57)/I57)</f>
        <v>-3.674212107235364E-2</v>
      </c>
      <c r="M57" s="19">
        <f t="shared" si="26"/>
        <v>6.1076288849158486E-2</v>
      </c>
    </row>
    <row r="58" spans="1:13" x14ac:dyDescent="0.25">
      <c r="A58" s="17"/>
      <c r="B58" s="4"/>
      <c r="C58" s="4"/>
      <c r="D58" s="4"/>
      <c r="E58" s="4"/>
      <c r="F58" s="6">
        <f t="shared" si="19"/>
        <v>0</v>
      </c>
      <c r="G58" s="6">
        <f t="shared" si="20"/>
        <v>0</v>
      </c>
      <c r="H58" s="6"/>
      <c r="I58" s="4">
        <f t="shared" si="22"/>
        <v>0</v>
      </c>
      <c r="J58" s="4">
        <f t="shared" si="22"/>
        <v>0</v>
      </c>
      <c r="K58" s="6"/>
      <c r="L58" s="19">
        <f t="shared" si="23"/>
        <v>0</v>
      </c>
      <c r="M58" s="19">
        <f t="shared" si="24"/>
        <v>0</v>
      </c>
    </row>
    <row r="59" spans="1:13" x14ac:dyDescent="0.25">
      <c r="A59" s="17" t="s">
        <v>17</v>
      </c>
      <c r="B59" s="105">
        <f t="shared" ref="B59:E60" si="28">B17+B38</f>
        <v>7325781</v>
      </c>
      <c r="C59" s="163">
        <f t="shared" si="28"/>
        <v>379041</v>
      </c>
      <c r="D59" s="105">
        <f t="shared" si="28"/>
        <v>27464</v>
      </c>
      <c r="E59" s="4">
        <f t="shared" si="28"/>
        <v>1946</v>
      </c>
      <c r="F59" s="6">
        <f>IF(D59=0,0,B59/D59)</f>
        <v>266.74122487620156</v>
      </c>
      <c r="G59" s="6">
        <f t="shared" si="20"/>
        <v>194.77954779033917</v>
      </c>
      <c r="H59" s="6">
        <f>IF(D59+E59=0,0,(B59+C58)/(D59+E59))</f>
        <v>249.09149948996941</v>
      </c>
      <c r="I59" s="4">
        <f t="shared" si="22"/>
        <v>8545619</v>
      </c>
      <c r="J59" s="4">
        <f t="shared" si="22"/>
        <v>1732422</v>
      </c>
      <c r="K59" s="6">
        <v>230</v>
      </c>
      <c r="L59" s="19">
        <f>IF(I59=0,0,(B17-I59)/I59)</f>
        <v>-0.73728573670321595</v>
      </c>
      <c r="M59" s="19">
        <f t="shared" si="24"/>
        <v>8.300651952160612E-2</v>
      </c>
    </row>
    <row r="60" spans="1:13" x14ac:dyDescent="0.25">
      <c r="A60" s="17" t="s">
        <v>18</v>
      </c>
      <c r="B60" s="105">
        <f t="shared" si="28"/>
        <v>11914006.5</v>
      </c>
      <c r="C60" s="64">
        <f t="shared" si="28"/>
        <v>81752</v>
      </c>
      <c r="D60" s="105">
        <f t="shared" si="28"/>
        <v>41785</v>
      </c>
      <c r="E60" s="4">
        <f t="shared" si="28"/>
        <v>395.5</v>
      </c>
      <c r="F60" s="6">
        <f>IF(D60=0,0,B60/D60)</f>
        <v>285.12639703242792</v>
      </c>
      <c r="G60" s="6">
        <f>IF(E60=0,0,C60/E60)</f>
        <v>206.7054361567636</v>
      </c>
      <c r="H60" s="6">
        <f>IF(D60+E60=0,0,(B60+C60)/(D60+E60))</f>
        <v>284.39109304062305</v>
      </c>
      <c r="I60" s="4">
        <f t="shared" si="22"/>
        <v>7917914.4000000004</v>
      </c>
      <c r="J60" s="4">
        <f t="shared" si="22"/>
        <v>1229270</v>
      </c>
      <c r="K60" s="6">
        <v>281</v>
      </c>
      <c r="L60" s="19">
        <f>IF(I60=0,0,(B18-I60)/I60)</f>
        <v>-0.25012917543033808</v>
      </c>
      <c r="M60" s="19">
        <f t="shared" si="24"/>
        <v>1.2067946763783088E-2</v>
      </c>
    </row>
    <row r="61" spans="1:13" x14ac:dyDescent="0.25">
      <c r="A61" s="17" t="s">
        <v>19</v>
      </c>
      <c r="B61" s="105">
        <f>B19+B40</f>
        <v>73735255.409999996</v>
      </c>
      <c r="C61" s="60"/>
      <c r="D61" s="105">
        <f>D19+D40</f>
        <v>224623.7</v>
      </c>
      <c r="E61" s="4"/>
      <c r="F61" s="6">
        <f>IF(D61=0,0,B61/D61)</f>
        <v>328.26124496212998</v>
      </c>
      <c r="G61" s="6">
        <f t="shared" si="20"/>
        <v>0</v>
      </c>
      <c r="H61" s="6">
        <f>IF(D61+E61=0,0,(B61+C61)/(D61+E61))</f>
        <v>328.26124496212998</v>
      </c>
      <c r="I61" s="4">
        <f t="shared" si="22"/>
        <v>86864235.670000002</v>
      </c>
      <c r="J61" s="4">
        <f t="shared" si="22"/>
        <v>0</v>
      </c>
      <c r="K61" s="6">
        <v>296</v>
      </c>
      <c r="L61" s="19">
        <f>IF(I61=0,0,(B19-I61)/I61)</f>
        <v>-0.59992852096202642</v>
      </c>
      <c r="M61" s="19">
        <f>IF(K61=0,0,(H61-K61)/K61)</f>
        <v>0.10899069243962831</v>
      </c>
    </row>
    <row r="62" spans="1:13" s="11" customFormat="1" x14ac:dyDescent="0.25">
      <c r="A62" s="18" t="s">
        <v>20</v>
      </c>
      <c r="B62" s="8">
        <f>SUM(B49:B61)</f>
        <v>289069515.22800004</v>
      </c>
      <c r="C62" s="8">
        <f>SUM(C49:C61)</f>
        <v>8997382</v>
      </c>
      <c r="D62" s="8">
        <f>SUM(D49:D61)</f>
        <v>967464.3899999999</v>
      </c>
      <c r="E62" s="8">
        <f>SUM(E49:E61)</f>
        <v>46853.5</v>
      </c>
      <c r="F62" s="9">
        <f>IF(D62=0,0,B62/D62)</f>
        <v>298.79085805731836</v>
      </c>
      <c r="G62" s="9">
        <f>IF(E62=0,0,C62/E62)</f>
        <v>192.03222811529554</v>
      </c>
      <c r="H62" s="9">
        <f>IF(D62+E62=0,0,(B62+C62)/(D62+E62))</f>
        <v>293.85944994818152</v>
      </c>
      <c r="I62" s="4">
        <f>I20+I41</f>
        <v>319171647.94</v>
      </c>
      <c r="J62" s="4">
        <f t="shared" si="22"/>
        <v>19063435.93</v>
      </c>
      <c r="K62" s="9">
        <v>295.39999999999998</v>
      </c>
      <c r="L62" s="32">
        <f t="shared" si="23"/>
        <v>-9.4313304161836933E-2</v>
      </c>
      <c r="M62" s="10">
        <f t="shared" si="24"/>
        <v>-5.2151321997916614E-3</v>
      </c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21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61"/>
  <sheetViews>
    <sheetView showZeros="0" topLeftCell="A12" zoomScale="84" zoomScaleNormal="84" workbookViewId="0">
      <selection activeCell="B13" sqref="B13"/>
    </sheetView>
  </sheetViews>
  <sheetFormatPr baseColWidth="10" defaultColWidth="9" defaultRowHeight="15.75" x14ac:dyDescent="0.25"/>
  <cols>
    <col min="1" max="1" width="16.5" style="14" customWidth="1"/>
    <col min="2" max="2" width="13.875" customWidth="1"/>
    <col min="3" max="3" width="13.25" customWidth="1"/>
    <col min="4" max="5" width="11.75" customWidth="1"/>
    <col min="6" max="8" width="9.25" customWidth="1"/>
    <col min="9" max="9" width="11.375" customWidth="1"/>
    <col min="10" max="10" width="12.625" bestFit="1" customWidth="1"/>
    <col min="11" max="13" width="9.25" customWidth="1"/>
  </cols>
  <sheetData>
    <row r="2" spans="1:13" ht="20.25" x14ac:dyDescent="0.3">
      <c r="A2" s="20" t="str">
        <f>"MÅLESTATISTIKK FOR MALERE - 1. HALVÅR "&amp;FORS!$A$14</f>
        <v>MÅLESTATISTIKK FOR MALERE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21"/>
      <c r="C7" s="21"/>
      <c r="D7" s="21"/>
      <c r="E7" s="21"/>
      <c r="F7" s="6">
        <f>IF(D7=0,0,B7/D7)</f>
        <v>0</v>
      </c>
      <c r="H7" s="6">
        <f>IF(D7+E7=0,0,(B7+C7)/(D7+E7))</f>
        <v>0</v>
      </c>
      <c r="I7" s="4"/>
      <c r="J7" s="4"/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7</v>
      </c>
      <c r="B8" s="151">
        <v>3257022.86</v>
      </c>
      <c r="C8" s="59"/>
      <c r="D8" s="151">
        <v>13540.86</v>
      </c>
      <c r="E8" s="21"/>
      <c r="F8" s="6">
        <f t="shared" ref="F8:F17" si="0">IF(D8=0,0,B8/D8)</f>
        <v>240.53293956218437</v>
      </c>
      <c r="G8" s="6">
        <f t="shared" ref="G8:G17" si="1">IF(E8=0,0,C8/E8)</f>
        <v>0</v>
      </c>
      <c r="H8" s="6">
        <f>IF(D8+E8=0,0,(B8+C8)/(D8+E8))</f>
        <v>240.53293956218437</v>
      </c>
      <c r="I8" s="4">
        <v>2304272.1</v>
      </c>
      <c r="J8" s="4"/>
      <c r="K8" s="6">
        <v>222.36</v>
      </c>
      <c r="L8" s="19">
        <f t="shared" ref="L8:L18" si="2">IF(I8=0,0,(B8-I8)/I8)</f>
        <v>0.4134714645896202</v>
      </c>
      <c r="M8" s="19">
        <f>IF(K8=0,0,(H8-K8)/K8)</f>
        <v>8.172755694452398E-2</v>
      </c>
    </row>
    <row r="9" spans="1:13" x14ac:dyDescent="0.25">
      <c r="A9" s="17" t="s">
        <v>8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ref="H9:H13" si="3">IF(D9+E9=0,0,(B9+C9)/(D9+E9))</f>
        <v>0</v>
      </c>
      <c r="I9" s="4"/>
      <c r="J9" s="4"/>
      <c r="K9" s="6">
        <v>0</v>
      </c>
      <c r="L9" s="19">
        <f t="shared" si="2"/>
        <v>0</v>
      </c>
      <c r="M9" s="19">
        <f t="shared" ref="M9:M13" si="4">IF(K9=0,0,(H9-K9)/K9)</f>
        <v>0</v>
      </c>
    </row>
    <row r="10" spans="1:13" x14ac:dyDescent="0.25">
      <c r="A10" s="17" t="s">
        <v>10</v>
      </c>
      <c r="B10" s="62">
        <v>1954570</v>
      </c>
      <c r="C10" s="90">
        <v>347493</v>
      </c>
      <c r="D10" s="62">
        <v>6468</v>
      </c>
      <c r="E10" s="21">
        <v>1850</v>
      </c>
      <c r="F10" s="6">
        <f>IF(D10=0,0,B10/D10)</f>
        <v>302.1907854050711</v>
      </c>
      <c r="G10" s="6">
        <f>IF(E10=0,0,C10/E10)</f>
        <v>187.83405405405406</v>
      </c>
      <c r="H10" s="6">
        <f t="shared" si="3"/>
        <v>276.75679249819666</v>
      </c>
      <c r="I10" s="4">
        <v>1028373</v>
      </c>
      <c r="J10" s="4">
        <v>230756</v>
      </c>
      <c r="K10" s="6">
        <v>230.78</v>
      </c>
      <c r="L10" s="19">
        <f t="shared" si="2"/>
        <v>0.90064305461150773</v>
      </c>
      <c r="M10" s="19">
        <f t="shared" si="4"/>
        <v>0.19922347039690033</v>
      </c>
    </row>
    <row r="11" spans="1:13" x14ac:dyDescent="0.25">
      <c r="A11" s="17" t="s">
        <v>11</v>
      </c>
      <c r="B11" s="21"/>
      <c r="C11" s="21"/>
      <c r="D11" s="21"/>
      <c r="E11" s="21"/>
      <c r="F11" s="6">
        <f t="shared" si="0"/>
        <v>0</v>
      </c>
      <c r="G11" s="6">
        <f t="shared" ref="G11:G13" si="5">IF(E11=0,0,C11/E11)</f>
        <v>0</v>
      </c>
      <c r="H11" s="6">
        <f t="shared" si="3"/>
        <v>0</v>
      </c>
      <c r="I11" s="4"/>
      <c r="J11" s="4"/>
      <c r="K11" s="6">
        <v>0</v>
      </c>
      <c r="L11" s="19">
        <f t="shared" si="2"/>
        <v>0</v>
      </c>
      <c r="M11" s="19">
        <f t="shared" si="4"/>
        <v>0</v>
      </c>
    </row>
    <row r="12" spans="1:13" x14ac:dyDescent="0.25">
      <c r="A12" s="17" t="s">
        <v>12</v>
      </c>
      <c r="B12" s="21"/>
      <c r="C12" s="21"/>
      <c r="D12" s="21"/>
      <c r="E12" s="21"/>
      <c r="F12" s="6">
        <f t="shared" si="0"/>
        <v>0</v>
      </c>
      <c r="G12" s="6">
        <f t="shared" si="5"/>
        <v>0</v>
      </c>
      <c r="H12" s="6">
        <f t="shared" si="3"/>
        <v>0</v>
      </c>
      <c r="I12" s="4"/>
      <c r="J12" s="4"/>
      <c r="K12" s="6">
        <v>0</v>
      </c>
      <c r="L12" s="19">
        <f t="shared" si="2"/>
        <v>0</v>
      </c>
      <c r="M12" s="19">
        <f t="shared" si="4"/>
        <v>0</v>
      </c>
    </row>
    <row r="13" spans="1:13" x14ac:dyDescent="0.25">
      <c r="A13" s="17" t="s">
        <v>14</v>
      </c>
      <c r="B13" s="85">
        <v>135872</v>
      </c>
      <c r="C13" s="82"/>
      <c r="D13" s="77">
        <v>386.5</v>
      </c>
      <c r="E13" s="21"/>
      <c r="F13" s="6">
        <f>IF(D13=0,0,B13/D13)</f>
        <v>351.54463130659769</v>
      </c>
      <c r="G13" s="6">
        <f t="shared" si="5"/>
        <v>0</v>
      </c>
      <c r="H13" s="6">
        <f t="shared" si="3"/>
        <v>351.54463130659769</v>
      </c>
      <c r="I13" s="4">
        <v>391124</v>
      </c>
      <c r="J13" s="4"/>
      <c r="K13" s="6">
        <v>383.53</v>
      </c>
      <c r="L13" s="19">
        <f t="shared" si="2"/>
        <v>-0.65261144803182625</v>
      </c>
      <c r="M13" s="19">
        <f t="shared" si="4"/>
        <v>-8.3397305799812999E-2</v>
      </c>
    </row>
    <row r="14" spans="1:13" x14ac:dyDescent="0.25">
      <c r="A14" s="17" t="s">
        <v>15</v>
      </c>
      <c r="B14" s="21"/>
      <c r="C14" s="21"/>
      <c r="D14" s="21"/>
      <c r="E14" s="21"/>
      <c r="F14" s="6">
        <f t="shared" si="0"/>
        <v>0</v>
      </c>
      <c r="G14" s="6">
        <f t="shared" si="1"/>
        <v>0</v>
      </c>
      <c r="H14" s="6">
        <f t="shared" ref="H14:H17" si="6">IF(D14+E14=0,0,(B14+C14)/(D14+E14))</f>
        <v>0</v>
      </c>
      <c r="I14" s="4"/>
      <c r="J14" s="4"/>
      <c r="K14" s="6">
        <v>0</v>
      </c>
      <c r="L14" s="19">
        <f t="shared" si="2"/>
        <v>0</v>
      </c>
      <c r="M14" s="19">
        <f t="shared" ref="M14:M18" si="7">IF(K14=0,0,(H14-K14)/K14)</f>
        <v>0</v>
      </c>
    </row>
    <row r="15" spans="1:13" x14ac:dyDescent="0.25">
      <c r="A15" s="17" t="s">
        <v>16</v>
      </c>
      <c r="B15" s="79">
        <v>17167583</v>
      </c>
      <c r="C15" s="130">
        <v>2462157</v>
      </c>
      <c r="D15" s="81">
        <v>68548.160000000003</v>
      </c>
      <c r="E15" s="99">
        <v>13397.56</v>
      </c>
      <c r="F15" s="6">
        <f>IF(D15=0,0,B15/D15)</f>
        <v>250.44556994673525</v>
      </c>
      <c r="G15" s="6">
        <f>IF(E15=0,0,C15/E15)</f>
        <v>183.77652348636619</v>
      </c>
      <c r="H15" s="6">
        <f>IF(D15+E15=0,0,(B15+C15)/(D15+E15))</f>
        <v>239.5456406997217</v>
      </c>
      <c r="I15" s="4">
        <v>16358897</v>
      </c>
      <c r="J15" s="4">
        <v>1486845</v>
      </c>
      <c r="K15" s="6">
        <v>255.28</v>
      </c>
      <c r="L15" s="19">
        <f t="shared" si="2"/>
        <v>4.9434017464624905E-2</v>
      </c>
      <c r="M15" s="19">
        <f t="shared" si="7"/>
        <v>-6.1635691398771154E-2</v>
      </c>
    </row>
    <row r="16" spans="1:13" x14ac:dyDescent="0.25">
      <c r="A16" s="17" t="s">
        <v>17</v>
      </c>
      <c r="B16" s="120">
        <v>202751.29</v>
      </c>
      <c r="C16" s="96"/>
      <c r="D16" s="96">
        <v>536.5</v>
      </c>
      <c r="E16" s="93"/>
      <c r="F16" s="6">
        <f>IF(D16=0,0,B16/D16)</f>
        <v>377.91479962721343</v>
      </c>
      <c r="G16" s="6">
        <f>IF(E16=0,0,C16/E16)</f>
        <v>0</v>
      </c>
      <c r="H16" s="6">
        <f>IF(D16+E16=0,0,(B16+C16)/(D16+E16))</f>
        <v>377.91479962721343</v>
      </c>
      <c r="I16" s="4">
        <v>479063</v>
      </c>
      <c r="J16" s="4"/>
      <c r="K16" s="6">
        <v>341.21</v>
      </c>
      <c r="L16" s="19">
        <f t="shared" si="2"/>
        <v>-0.57677530930169929</v>
      </c>
      <c r="M16" s="19">
        <f t="shared" si="7"/>
        <v>0.10757246161370841</v>
      </c>
    </row>
    <row r="17" spans="1:17" x14ac:dyDescent="0.25">
      <c r="A17" s="17" t="s">
        <v>19</v>
      </c>
      <c r="B17" s="91">
        <v>3159454</v>
      </c>
      <c r="C17" s="118"/>
      <c r="D17" s="119">
        <v>10485</v>
      </c>
      <c r="E17" s="21"/>
      <c r="F17" s="6">
        <f t="shared" si="0"/>
        <v>301.33085360038149</v>
      </c>
      <c r="G17" s="6">
        <f t="shared" si="1"/>
        <v>0</v>
      </c>
      <c r="H17" s="6">
        <f t="shared" si="6"/>
        <v>301.33085360038149</v>
      </c>
      <c r="I17" s="4">
        <v>2592486.09</v>
      </c>
      <c r="J17" s="4"/>
      <c r="K17" s="6">
        <v>287.45999999999998</v>
      </c>
      <c r="L17" s="19">
        <f t="shared" si="2"/>
        <v>0.21869660639143493</v>
      </c>
      <c r="M17" s="19">
        <f t="shared" si="7"/>
        <v>4.8253160788915013E-2</v>
      </c>
    </row>
    <row r="18" spans="1:17" s="11" customFormat="1" x14ac:dyDescent="0.25">
      <c r="A18" s="18" t="s">
        <v>20</v>
      </c>
      <c r="B18" s="63">
        <f>SUM(B7:B17)</f>
        <v>25877253.149999999</v>
      </c>
      <c r="C18" s="8">
        <f>SUM(C7:C17)</f>
        <v>2809650</v>
      </c>
      <c r="D18" s="63">
        <f>SUM(D7:D17)</f>
        <v>99965.02</v>
      </c>
      <c r="E18" s="8">
        <f>SUM(E7:E17)</f>
        <v>15247.56</v>
      </c>
      <c r="F18" s="9">
        <f>IF(D18=0,0,B18/D18)</f>
        <v>258.86308180601571</v>
      </c>
      <c r="G18" s="9">
        <f>IF(E18=0,0,C18/E18)</f>
        <v>184.26882727465903</v>
      </c>
      <c r="H18" s="9">
        <f>IF(D18+E18=0,0,(B18+C18)/(D18+E18))</f>
        <v>248.99106634015138</v>
      </c>
      <c r="I18" s="8">
        <f>SUM(I7:I17)</f>
        <v>23154215.190000001</v>
      </c>
      <c r="J18" s="8">
        <f>SUM(J7:J17)</f>
        <v>1717601</v>
      </c>
      <c r="K18" s="9">
        <v>255.14</v>
      </c>
      <c r="L18" s="32">
        <f t="shared" si="2"/>
        <v>0.11760441620046967</v>
      </c>
      <c r="M18" s="32">
        <f t="shared" si="7"/>
        <v>-2.4100233831812375E-2</v>
      </c>
    </row>
    <row r="21" spans="1:17" ht="20.25" x14ac:dyDescent="0.3">
      <c r="A21" s="20" t="str">
        <f>"MÅLESTATISTIKK FOR MALERE - 2. HALVÅR "&amp;FORS!$A$14</f>
        <v>MÅLESTATISTIKK FOR MALERE - 2. HALVÅR 2017</v>
      </c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7" x14ac:dyDescent="0.25">
      <c r="A23" s="15"/>
      <c r="B23" s="2" t="s">
        <v>4</v>
      </c>
      <c r="C23" s="3"/>
      <c r="D23" s="2" t="s">
        <v>5</v>
      </c>
      <c r="E23" s="3"/>
      <c r="F23" s="2" t="str">
        <f>"Fortjeneste 2. halvår  "&amp;FORS!$A$14-0</f>
        <v>Fortjeneste 2. halvår  2017</v>
      </c>
      <c r="G23" s="5"/>
      <c r="H23" s="3"/>
      <c r="I23" s="2" t="str">
        <f>" 2. halvår  "&amp;FORS!$A$14-1</f>
        <v xml:space="preserve"> 2. halvår  2016</v>
      </c>
      <c r="J23" s="5"/>
      <c r="K23" s="3"/>
      <c r="L23" s="46" t="s">
        <v>29</v>
      </c>
      <c r="M23" s="3"/>
    </row>
    <row r="24" spans="1:17" x14ac:dyDescent="0.25">
      <c r="A24" s="47"/>
      <c r="B24" s="48" t="s">
        <v>6</v>
      </c>
      <c r="C24" s="48" t="s">
        <v>6</v>
      </c>
      <c r="D24" s="48" t="s">
        <v>6</v>
      </c>
      <c r="E24" s="48" t="s">
        <v>6</v>
      </c>
      <c r="F24" s="48" t="s">
        <v>6</v>
      </c>
      <c r="G24" s="48" t="s">
        <v>6</v>
      </c>
      <c r="H24" s="49" t="s">
        <v>33</v>
      </c>
      <c r="I24" s="48" t="s">
        <v>6</v>
      </c>
      <c r="J24" s="48" t="s">
        <v>6</v>
      </c>
      <c r="K24" s="49" t="s">
        <v>31</v>
      </c>
      <c r="L24" s="48" t="s">
        <v>6</v>
      </c>
      <c r="M24" s="49" t="s">
        <v>31</v>
      </c>
    </row>
    <row r="25" spans="1:17" x14ac:dyDescent="0.25">
      <c r="A25" s="51"/>
      <c r="B25" s="52" t="s">
        <v>30</v>
      </c>
      <c r="C25" s="52" t="s">
        <v>32</v>
      </c>
      <c r="D25" s="52" t="s">
        <v>30</v>
      </c>
      <c r="E25" s="52" t="s">
        <v>32</v>
      </c>
      <c r="F25" s="52" t="s">
        <v>30</v>
      </c>
      <c r="G25" s="52" t="s">
        <v>32</v>
      </c>
      <c r="H25" s="53" t="s">
        <v>34</v>
      </c>
      <c r="I25" s="52" t="s">
        <v>30</v>
      </c>
      <c r="J25" s="52" t="s">
        <v>32</v>
      </c>
      <c r="K25" s="53" t="s">
        <v>28</v>
      </c>
      <c r="L25" s="52" t="s">
        <v>30</v>
      </c>
      <c r="M25" s="53" t="s">
        <v>28</v>
      </c>
    </row>
    <row r="26" spans="1:17" x14ac:dyDescent="0.25">
      <c r="A26" s="17" t="s">
        <v>25</v>
      </c>
      <c r="B26" s="21"/>
      <c r="C26" s="21"/>
      <c r="D26" s="21"/>
      <c r="E26" s="21"/>
      <c r="F26" s="6">
        <f>IF(D26=0,0,B26/D26)</f>
        <v>0</v>
      </c>
      <c r="G26" s="6">
        <f>IF(E26=0,0,C26/E26)</f>
        <v>0</v>
      </c>
      <c r="H26" s="6">
        <f>IF(D26+E26=0,0,(B26+C26)/(D26+E26))</f>
        <v>0</v>
      </c>
      <c r="I26" s="4"/>
      <c r="J26" s="4"/>
      <c r="K26" s="6">
        <v>0</v>
      </c>
      <c r="L26" s="19">
        <f>IF(I26=0,0,(B26-I26)/I26)</f>
        <v>0</v>
      </c>
      <c r="M26" s="19">
        <f>IF(K26=0,0,(H26-K26)/K26)</f>
        <v>0</v>
      </c>
    </row>
    <row r="27" spans="1:17" x14ac:dyDescent="0.25">
      <c r="A27" s="17" t="s">
        <v>7</v>
      </c>
      <c r="B27" s="70">
        <v>2776450.83</v>
      </c>
      <c r="C27" s="130"/>
      <c r="D27" s="70">
        <v>11495.84</v>
      </c>
      <c r="E27" s="21"/>
      <c r="F27" s="6">
        <f t="shared" ref="F27:F36" si="8">IF(D27=0,0,B27/D27)</f>
        <v>241.51787342203789</v>
      </c>
      <c r="G27" s="6">
        <f t="shared" ref="G27:G36" si="9">IF(E27=0,0,C27/E27)</f>
        <v>0</v>
      </c>
      <c r="H27" s="6">
        <f t="shared" ref="H27:H36" si="10">IF(D27+E27=0,0,(B27+C27)/(D27+E27))</f>
        <v>241.51787342203789</v>
      </c>
      <c r="I27" s="4">
        <v>3144106.83</v>
      </c>
      <c r="J27" s="4"/>
      <c r="K27" s="6">
        <v>236.11</v>
      </c>
      <c r="L27" s="19">
        <f t="shared" ref="L27:L37" si="11">IF(I27=0,0,(B27-I27)/I27)</f>
        <v>-0.11693495796388063</v>
      </c>
      <c r="M27" s="19">
        <f t="shared" ref="M27:M37" si="12">IF(K27=0,0,(H27-K27)/K27)</f>
        <v>2.2904042277065266E-2</v>
      </c>
      <c r="P27" s="134"/>
    </row>
    <row r="28" spans="1:17" x14ac:dyDescent="0.25">
      <c r="A28" s="17" t="s">
        <v>8</v>
      </c>
      <c r="B28" s="21"/>
      <c r="C28" s="21"/>
      <c r="D28" s="21"/>
      <c r="E28" s="21"/>
      <c r="F28" s="6">
        <f t="shared" si="8"/>
        <v>0</v>
      </c>
      <c r="G28" s="6">
        <f t="shared" si="9"/>
        <v>0</v>
      </c>
      <c r="H28" s="6">
        <f t="shared" si="10"/>
        <v>0</v>
      </c>
      <c r="I28" s="4"/>
      <c r="J28" s="4"/>
      <c r="K28" s="6">
        <v>0</v>
      </c>
      <c r="L28" s="19">
        <f t="shared" si="11"/>
        <v>0</v>
      </c>
      <c r="M28" s="19">
        <f t="shared" si="12"/>
        <v>0</v>
      </c>
      <c r="P28" s="134"/>
    </row>
    <row r="29" spans="1:17" x14ac:dyDescent="0.25">
      <c r="A29" s="17" t="s">
        <v>10</v>
      </c>
      <c r="B29" s="62">
        <v>1815663</v>
      </c>
      <c r="C29" s="62"/>
      <c r="D29" s="62">
        <v>5563</v>
      </c>
      <c r="E29" s="62"/>
      <c r="F29" s="6">
        <f t="shared" si="8"/>
        <v>326.38198813589787</v>
      </c>
      <c r="G29" s="6">
        <f>IF(E29=0,0,C29/E29)</f>
        <v>0</v>
      </c>
      <c r="H29" s="6">
        <f t="shared" si="10"/>
        <v>326.38198813589787</v>
      </c>
      <c r="I29" s="4">
        <v>1699069</v>
      </c>
      <c r="J29" s="4">
        <v>38242</v>
      </c>
      <c r="K29" s="6">
        <v>263.02999999999997</v>
      </c>
      <c r="L29" s="19">
        <f t="shared" si="11"/>
        <v>6.8622286675820696E-2</v>
      </c>
      <c r="M29" s="19">
        <f t="shared" si="12"/>
        <v>0.24085461025699695</v>
      </c>
      <c r="O29" s="134"/>
      <c r="P29" s="134"/>
      <c r="Q29" s="134"/>
    </row>
    <row r="30" spans="1:17" x14ac:dyDescent="0.25">
      <c r="A30" s="17" t="s">
        <v>11</v>
      </c>
      <c r="B30" s="21"/>
      <c r="C30" s="21"/>
      <c r="D30" s="21"/>
      <c r="E30" s="21"/>
      <c r="F30" s="6">
        <f t="shared" si="8"/>
        <v>0</v>
      </c>
      <c r="G30" s="6">
        <f t="shared" si="9"/>
        <v>0</v>
      </c>
      <c r="H30" s="6">
        <f t="shared" si="10"/>
        <v>0</v>
      </c>
      <c r="I30" s="4"/>
      <c r="J30" s="4"/>
      <c r="K30" s="6">
        <v>0</v>
      </c>
      <c r="L30" s="19">
        <f t="shared" si="11"/>
        <v>0</v>
      </c>
      <c r="M30" s="19">
        <f t="shared" si="12"/>
        <v>0</v>
      </c>
      <c r="O30" s="134"/>
      <c r="P30" s="135"/>
      <c r="Q30" s="134"/>
    </row>
    <row r="31" spans="1:17" x14ac:dyDescent="0.25">
      <c r="A31" s="17" t="s">
        <v>12</v>
      </c>
      <c r="B31" s="21"/>
      <c r="C31" s="21"/>
      <c r="D31" s="21"/>
      <c r="E31" s="21"/>
      <c r="F31" s="6">
        <f t="shared" si="8"/>
        <v>0</v>
      </c>
      <c r="G31" s="6">
        <f t="shared" si="9"/>
        <v>0</v>
      </c>
      <c r="H31" s="6">
        <f t="shared" si="10"/>
        <v>0</v>
      </c>
      <c r="I31" s="4"/>
      <c r="J31" s="4"/>
      <c r="K31" s="6">
        <v>0</v>
      </c>
      <c r="L31" s="19">
        <f t="shared" si="11"/>
        <v>0</v>
      </c>
      <c r="M31" s="19">
        <f t="shared" si="12"/>
        <v>0</v>
      </c>
      <c r="O31" s="134"/>
      <c r="P31" s="135"/>
      <c r="Q31" s="134"/>
    </row>
    <row r="32" spans="1:17" x14ac:dyDescent="0.25">
      <c r="A32" s="17" t="s">
        <v>14</v>
      </c>
      <c r="B32" s="62">
        <v>368682</v>
      </c>
      <c r="C32" s="21"/>
      <c r="D32" s="21">
        <v>959</v>
      </c>
      <c r="E32" s="21"/>
      <c r="F32" s="6">
        <f t="shared" si="8"/>
        <v>384.44421272158496</v>
      </c>
      <c r="G32" s="6">
        <f t="shared" si="9"/>
        <v>0</v>
      </c>
      <c r="H32" s="6">
        <f t="shared" si="10"/>
        <v>384.44421272158496</v>
      </c>
      <c r="I32" s="4">
        <v>161575.4</v>
      </c>
      <c r="J32" s="4"/>
      <c r="K32" s="6">
        <v>430.29</v>
      </c>
      <c r="L32" s="19">
        <f t="shared" si="11"/>
        <v>1.2817953723153401</v>
      </c>
      <c r="M32" s="19">
        <f t="shared" si="12"/>
        <v>-0.10654625317440576</v>
      </c>
      <c r="O32" s="134"/>
      <c r="P32" s="135"/>
      <c r="Q32" s="134"/>
    </row>
    <row r="33" spans="1:17" x14ac:dyDescent="0.25">
      <c r="A33" s="17" t="s">
        <v>15</v>
      </c>
      <c r="B33" s="21"/>
      <c r="C33" s="21"/>
      <c r="D33" s="21"/>
      <c r="E33" s="21"/>
      <c r="F33" s="6">
        <f t="shared" si="8"/>
        <v>0</v>
      </c>
      <c r="G33" s="6">
        <f t="shared" si="9"/>
        <v>0</v>
      </c>
      <c r="H33" s="6">
        <f t="shared" si="10"/>
        <v>0</v>
      </c>
      <c r="I33" s="4"/>
      <c r="J33" s="4"/>
      <c r="K33" s="6">
        <v>0</v>
      </c>
      <c r="L33" s="19">
        <f t="shared" si="11"/>
        <v>0</v>
      </c>
      <c r="M33" s="19">
        <f t="shared" si="12"/>
        <v>0</v>
      </c>
      <c r="O33" s="134"/>
      <c r="P33" s="135"/>
      <c r="Q33" s="134"/>
    </row>
    <row r="34" spans="1:17" x14ac:dyDescent="0.25">
      <c r="A34" s="17" t="s">
        <v>16</v>
      </c>
      <c r="B34" s="79">
        <v>20237675</v>
      </c>
      <c r="C34" s="87">
        <v>5535263</v>
      </c>
      <c r="D34" s="81">
        <v>72264.710000000006</v>
      </c>
      <c r="E34" s="88">
        <v>27200.880000000001</v>
      </c>
      <c r="F34" s="6">
        <f t="shared" si="8"/>
        <v>280.04921074200666</v>
      </c>
      <c r="G34" s="6">
        <f t="shared" si="9"/>
        <v>203.49573249100763</v>
      </c>
      <c r="H34" s="6">
        <f t="shared" si="10"/>
        <v>259.11411172446668</v>
      </c>
      <c r="I34" s="4">
        <v>23031833</v>
      </c>
      <c r="J34" s="4">
        <v>2481659</v>
      </c>
      <c r="K34" s="6">
        <v>261.11</v>
      </c>
      <c r="L34" s="19">
        <f t="shared" si="11"/>
        <v>-0.1213172221247002</v>
      </c>
      <c r="M34" s="19">
        <f t="shared" si="12"/>
        <v>-7.6438599652764424E-3</v>
      </c>
      <c r="O34" s="134"/>
      <c r="P34" s="135"/>
      <c r="Q34" s="134"/>
    </row>
    <row r="35" spans="1:17" x14ac:dyDescent="0.25">
      <c r="A35" s="17" t="s">
        <v>17</v>
      </c>
      <c r="B35" s="120">
        <v>319077</v>
      </c>
      <c r="C35" s="96"/>
      <c r="D35" s="96">
        <v>779</v>
      </c>
      <c r="E35" s="21"/>
      <c r="F35" s="6">
        <f>IF(D35=0,0,B35/D35)</f>
        <v>409.59820282413352</v>
      </c>
      <c r="G35" s="6">
        <f>IF(E35=0,0,C35/E35)</f>
        <v>0</v>
      </c>
      <c r="H35" s="6">
        <f>IF(D35+E35=0,0,(B35+C35)/(D35+E35))</f>
        <v>409.59820282413352</v>
      </c>
      <c r="I35" s="4">
        <v>254968</v>
      </c>
      <c r="J35" s="4"/>
      <c r="K35" s="6">
        <v>316.33999999999997</v>
      </c>
      <c r="L35" s="19">
        <f t="shared" si="11"/>
        <v>0.2514393963164005</v>
      </c>
      <c r="M35" s="19">
        <f t="shared" si="12"/>
        <v>0.29480370115740517</v>
      </c>
      <c r="O35" s="134"/>
      <c r="P35" s="135"/>
      <c r="Q35" s="134"/>
    </row>
    <row r="36" spans="1:17" x14ac:dyDescent="0.25">
      <c r="A36" s="17" t="s">
        <v>27</v>
      </c>
      <c r="B36" s="91">
        <v>1228677</v>
      </c>
      <c r="C36" s="118"/>
      <c r="D36" s="119">
        <v>4415</v>
      </c>
      <c r="E36" s="21"/>
      <c r="F36" s="6">
        <f t="shared" si="8"/>
        <v>278.29603624009059</v>
      </c>
      <c r="G36" s="6">
        <f t="shared" si="9"/>
        <v>0</v>
      </c>
      <c r="H36" s="6">
        <f t="shared" si="10"/>
        <v>278.29603624009059</v>
      </c>
      <c r="I36" s="4">
        <v>5854138</v>
      </c>
      <c r="J36" s="4"/>
      <c r="K36" s="6">
        <v>292.52</v>
      </c>
      <c r="L36" s="19">
        <f>IF(I36=0,0,(B36-I36)/I36)</f>
        <v>-0.79011820356814277</v>
      </c>
      <c r="M36" s="19">
        <f t="shared" si="12"/>
        <v>-4.8625611103204555E-2</v>
      </c>
      <c r="O36" s="134"/>
      <c r="P36" s="135"/>
      <c r="Q36" s="134"/>
    </row>
    <row r="37" spans="1:17" x14ac:dyDescent="0.25">
      <c r="A37" s="18" t="s">
        <v>20</v>
      </c>
      <c r="B37" s="63">
        <f>SUM(B26:B36)</f>
        <v>26746224.829999998</v>
      </c>
      <c r="C37" s="63">
        <f>SUM(C26:C36)</f>
        <v>5535263</v>
      </c>
      <c r="D37" s="8">
        <f>SUM(D26:D36)</f>
        <v>95476.55</v>
      </c>
      <c r="E37" s="8">
        <f>SUM(E26:E36)</f>
        <v>27200.880000000001</v>
      </c>
      <c r="F37" s="9">
        <f>IF(D37=0,0,B37/D37)</f>
        <v>280.13396828854832</v>
      </c>
      <c r="G37" s="9">
        <f>IF(E37=0,0,C37/E37)</f>
        <v>203.49573249100763</v>
      </c>
      <c r="H37" s="9">
        <f>IF(D37+E37=0,0,(B37+C37)/(D37+E37))</f>
        <v>263.14121375056516</v>
      </c>
      <c r="I37" s="8">
        <f>SUM(I26:I36)</f>
        <v>34145690.230000004</v>
      </c>
      <c r="J37" s="8">
        <f>SUM(J26:J36)</f>
        <v>2519901</v>
      </c>
      <c r="K37" s="9">
        <v>264.11</v>
      </c>
      <c r="L37" s="32">
        <f t="shared" si="11"/>
        <v>-0.21670276249091378</v>
      </c>
      <c r="M37" s="32">
        <f t="shared" si="12"/>
        <v>-3.668116502346963E-3</v>
      </c>
      <c r="O37" s="134"/>
      <c r="P37" s="135"/>
      <c r="Q37" s="134"/>
    </row>
    <row r="38" spans="1:17" x14ac:dyDescent="0.25">
      <c r="A38" s="14" t="s">
        <v>23</v>
      </c>
      <c r="O38" s="134"/>
      <c r="P38" s="135"/>
      <c r="Q38" s="134"/>
    </row>
    <row r="39" spans="1:17" x14ac:dyDescent="0.25">
      <c r="O39" s="134"/>
      <c r="P39" s="135"/>
      <c r="Q39" s="134"/>
    </row>
    <row r="40" spans="1:17" ht="20.25" x14ac:dyDescent="0.3">
      <c r="A40" s="20" t="str">
        <f>"MÅLESTATISTIKK FOR MALERE - GJENNOMSNITT HELE ÅRET  "&amp;FORS!$A$14</f>
        <v>MÅLESTATISTIKK FOR MALERE - GJENNOMSNITT HELE ÅRET  2017</v>
      </c>
      <c r="O40" s="134"/>
      <c r="P40" s="135"/>
      <c r="Q40" s="134"/>
    </row>
    <row r="41" spans="1:17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O41" s="134"/>
      <c r="P41" s="136"/>
      <c r="Q41" s="134"/>
    </row>
    <row r="42" spans="1:17" x14ac:dyDescent="0.25">
      <c r="A42" s="15"/>
      <c r="B42" s="2" t="s">
        <v>4</v>
      </c>
      <c r="C42" s="3"/>
      <c r="D42" s="2" t="s">
        <v>5</v>
      </c>
      <c r="E42" s="3"/>
      <c r="F42" s="2" t="str">
        <f>"Fortjeneste hele  "&amp;FORS!$A$14-0</f>
        <v>Fortjeneste hele  2017</v>
      </c>
      <c r="G42" s="5"/>
      <c r="H42" s="3"/>
      <c r="I42" s="2" t="str">
        <f>" Hele året  "&amp;FORS!$A$14-1</f>
        <v xml:space="preserve"> Hele året  2016</v>
      </c>
      <c r="J42" s="5"/>
      <c r="K42" s="3"/>
      <c r="L42" s="46" t="s">
        <v>29</v>
      </c>
      <c r="M42" s="3"/>
      <c r="O42" s="134"/>
      <c r="P42" s="134"/>
      <c r="Q42" s="134"/>
    </row>
    <row r="43" spans="1:17" x14ac:dyDescent="0.25">
      <c r="A43" s="47"/>
      <c r="B43" s="48" t="s">
        <v>6</v>
      </c>
      <c r="C43" s="48" t="s">
        <v>6</v>
      </c>
      <c r="D43" s="48" t="s">
        <v>6</v>
      </c>
      <c r="E43" s="48" t="s">
        <v>6</v>
      </c>
      <c r="F43" s="48" t="s">
        <v>6</v>
      </c>
      <c r="G43" s="48" t="s">
        <v>6</v>
      </c>
      <c r="H43" s="49" t="s">
        <v>33</v>
      </c>
      <c r="I43" s="48" t="s">
        <v>6</v>
      </c>
      <c r="J43" s="48" t="s">
        <v>6</v>
      </c>
      <c r="K43" s="49" t="s">
        <v>31</v>
      </c>
      <c r="L43" s="48" t="s">
        <v>6</v>
      </c>
      <c r="M43" s="49" t="s">
        <v>31</v>
      </c>
      <c r="P43" s="134"/>
      <c r="Q43" s="134"/>
    </row>
    <row r="44" spans="1:17" x14ac:dyDescent="0.25">
      <c r="A44" s="51"/>
      <c r="B44" s="52" t="s">
        <v>30</v>
      </c>
      <c r="C44" s="52" t="s">
        <v>32</v>
      </c>
      <c r="D44" s="52" t="s">
        <v>30</v>
      </c>
      <c r="E44" s="52" t="s">
        <v>32</v>
      </c>
      <c r="F44" s="52" t="s">
        <v>30</v>
      </c>
      <c r="G44" s="52" t="s">
        <v>32</v>
      </c>
      <c r="H44" s="53" t="s">
        <v>34</v>
      </c>
      <c r="I44" s="52" t="s">
        <v>30</v>
      </c>
      <c r="J44" s="52" t="s">
        <v>32</v>
      </c>
      <c r="K44" s="53" t="s">
        <v>28</v>
      </c>
      <c r="L44" s="52" t="s">
        <v>30</v>
      </c>
      <c r="M44" s="53" t="s">
        <v>28</v>
      </c>
      <c r="P44" s="134"/>
      <c r="Q44" s="134"/>
    </row>
    <row r="45" spans="1:17" x14ac:dyDescent="0.25">
      <c r="A45" s="17" t="s">
        <v>25</v>
      </c>
      <c r="B45" s="4"/>
      <c r="C45" s="4"/>
      <c r="D45" s="4"/>
      <c r="E45" s="4"/>
      <c r="F45" s="6">
        <f>IF(D45=0,0,B45/D45)</f>
        <v>0</v>
      </c>
      <c r="G45" s="6">
        <f>IF(E45=0,0,C45/E45)</f>
        <v>0</v>
      </c>
      <c r="H45" s="6">
        <f>IF(D45+E45=0,0,(B45+C45)/(D45+E45))</f>
        <v>0</v>
      </c>
      <c r="I45" s="4">
        <f>I7+I26</f>
        <v>0</v>
      </c>
      <c r="J45" s="4">
        <f>J7+J26</f>
        <v>0</v>
      </c>
      <c r="K45" s="6">
        <v>0</v>
      </c>
      <c r="L45" s="19">
        <f>IF(I45=0,0,(B45-I45)/I45)</f>
        <v>0</v>
      </c>
      <c r="M45" s="19">
        <f>IF(K45=0,0,(H45-K45)/K45)</f>
        <v>0</v>
      </c>
      <c r="P45" s="137"/>
      <c r="Q45" s="134"/>
    </row>
    <row r="46" spans="1:17" x14ac:dyDescent="0.25">
      <c r="A46" s="17" t="s">
        <v>7</v>
      </c>
      <c r="B46" s="64">
        <f>B8+B27</f>
        <v>6033473.6899999995</v>
      </c>
      <c r="C46" s="4"/>
      <c r="D46" s="4">
        <f>D8+D27</f>
        <v>25036.7</v>
      </c>
      <c r="E46" s="4"/>
      <c r="F46" s="6">
        <f t="shared" ref="F46:F54" si="13">IF(D46=0,0,B46/D46)</f>
        <v>240.98518135377265</v>
      </c>
      <c r="G46" s="6">
        <f t="shared" ref="G46:G55" si="14">IF(E46=0,0,C46/E46)</f>
        <v>0</v>
      </c>
      <c r="H46" s="6">
        <f t="shared" ref="H46:H55" si="15">IF(D46+E46=0,0,(B46+C46)/(D46+E46))</f>
        <v>240.98518135377265</v>
      </c>
      <c r="I46" s="4">
        <f t="shared" ref="I46:J56" si="16">I8+I27</f>
        <v>5448378.9299999997</v>
      </c>
      <c r="J46" s="4">
        <f t="shared" si="16"/>
        <v>0</v>
      </c>
      <c r="K46" s="39">
        <v>229</v>
      </c>
      <c r="L46" s="19">
        <f t="shared" ref="L46:L56" si="17">IF(I46=0,0,(B46-I46)/I46)</f>
        <v>0.10738877884912454</v>
      </c>
      <c r="M46" s="19">
        <f t="shared" ref="M46:M56" si="18">IF(K46=0,0,(H46-K46)/K46)</f>
        <v>5.233703647935653E-2</v>
      </c>
      <c r="P46" s="137"/>
      <c r="Q46" s="134"/>
    </row>
    <row r="47" spans="1:17" x14ac:dyDescent="0.25">
      <c r="A47" s="17"/>
      <c r="B47" s="4"/>
      <c r="C47" s="4"/>
      <c r="D47" s="4"/>
      <c r="E47" s="4"/>
      <c r="F47" s="6">
        <f t="shared" si="13"/>
        <v>0</v>
      </c>
      <c r="G47" s="6">
        <f t="shared" si="14"/>
        <v>0</v>
      </c>
      <c r="H47" s="6">
        <f t="shared" si="15"/>
        <v>0</v>
      </c>
      <c r="I47" s="4">
        <f t="shared" si="16"/>
        <v>0</v>
      </c>
      <c r="J47" s="4">
        <f t="shared" si="16"/>
        <v>0</v>
      </c>
      <c r="K47" s="39">
        <v>0</v>
      </c>
      <c r="L47" s="19">
        <f t="shared" si="17"/>
        <v>0</v>
      </c>
      <c r="M47" s="19">
        <f t="shared" si="18"/>
        <v>0</v>
      </c>
      <c r="P47" s="137"/>
      <c r="Q47" s="134"/>
    </row>
    <row r="48" spans="1:17" x14ac:dyDescent="0.25">
      <c r="A48" s="17" t="s">
        <v>10</v>
      </c>
      <c r="B48" s="64">
        <f>B10+B29</f>
        <v>3770233</v>
      </c>
      <c r="C48" s="64">
        <f>C10+C29</f>
        <v>347493</v>
      </c>
      <c r="D48" s="4">
        <f>D10+D29</f>
        <v>12031</v>
      </c>
      <c r="E48" s="4">
        <f>E10+E29</f>
        <v>1850</v>
      </c>
      <c r="F48" s="6">
        <f t="shared" si="13"/>
        <v>313.37652730446348</v>
      </c>
      <c r="G48" s="6">
        <f t="shared" si="14"/>
        <v>187.83405405405406</v>
      </c>
      <c r="H48" s="6">
        <f t="shared" si="15"/>
        <v>296.64476622721708</v>
      </c>
      <c r="I48" s="4">
        <f t="shared" si="16"/>
        <v>2727442</v>
      </c>
      <c r="J48" s="4">
        <f t="shared" si="16"/>
        <v>268998</v>
      </c>
      <c r="K48" s="39">
        <v>227</v>
      </c>
      <c r="L48" s="19">
        <f t="shared" si="17"/>
        <v>0.3823329698670036</v>
      </c>
      <c r="M48" s="19">
        <f t="shared" si="18"/>
        <v>0.30680513756483291</v>
      </c>
      <c r="P48" s="137"/>
      <c r="Q48" s="134"/>
    </row>
    <row r="49" spans="1:17" x14ac:dyDescent="0.25">
      <c r="A49" s="17" t="s">
        <v>11</v>
      </c>
      <c r="B49" s="4"/>
      <c r="C49" s="4"/>
      <c r="D49" s="4"/>
      <c r="E49" s="4"/>
      <c r="F49" s="6">
        <f t="shared" si="13"/>
        <v>0</v>
      </c>
      <c r="G49" s="6">
        <f t="shared" si="14"/>
        <v>0</v>
      </c>
      <c r="H49" s="6">
        <f t="shared" si="15"/>
        <v>0</v>
      </c>
      <c r="I49" s="4">
        <f t="shared" si="16"/>
        <v>0</v>
      </c>
      <c r="J49" s="4">
        <f t="shared" si="16"/>
        <v>0</v>
      </c>
      <c r="K49" s="39">
        <v>0</v>
      </c>
      <c r="L49" s="19">
        <f t="shared" si="17"/>
        <v>0</v>
      </c>
      <c r="M49" s="19">
        <f t="shared" si="18"/>
        <v>0</v>
      </c>
      <c r="P49" s="137"/>
      <c r="Q49" s="134"/>
    </row>
    <row r="50" spans="1:17" x14ac:dyDescent="0.25">
      <c r="A50" s="17" t="s">
        <v>12</v>
      </c>
      <c r="B50" s="4"/>
      <c r="C50" s="4"/>
      <c r="D50" s="4"/>
      <c r="E50" s="4"/>
      <c r="F50" s="6">
        <f t="shared" si="13"/>
        <v>0</v>
      </c>
      <c r="G50" s="6">
        <f t="shared" si="14"/>
        <v>0</v>
      </c>
      <c r="H50" s="6">
        <f t="shared" si="15"/>
        <v>0</v>
      </c>
      <c r="I50" s="4">
        <f t="shared" si="16"/>
        <v>0</v>
      </c>
      <c r="J50" s="4">
        <f t="shared" si="16"/>
        <v>0</v>
      </c>
      <c r="K50" s="39">
        <v>0</v>
      </c>
      <c r="L50" s="19">
        <f t="shared" si="17"/>
        <v>0</v>
      </c>
      <c r="M50" s="19">
        <f t="shared" si="18"/>
        <v>0</v>
      </c>
      <c r="P50" s="137"/>
      <c r="Q50" s="134"/>
    </row>
    <row r="51" spans="1:17" x14ac:dyDescent="0.25">
      <c r="A51" s="17" t="s">
        <v>14</v>
      </c>
      <c r="B51" s="64">
        <f>B13+B32</f>
        <v>504554</v>
      </c>
      <c r="C51" s="4"/>
      <c r="D51" s="64">
        <f>D13+D32</f>
        <v>1345.5</v>
      </c>
      <c r="E51" s="4"/>
      <c r="F51" s="6">
        <f t="shared" si="13"/>
        <v>374.99368264585655</v>
      </c>
      <c r="G51" s="6">
        <f t="shared" si="14"/>
        <v>0</v>
      </c>
      <c r="H51" s="6">
        <f t="shared" si="15"/>
        <v>374.99368264585655</v>
      </c>
      <c r="I51" s="4">
        <f t="shared" si="16"/>
        <v>552699.4</v>
      </c>
      <c r="J51" s="4">
        <f t="shared" si="16"/>
        <v>0</v>
      </c>
      <c r="K51" s="39">
        <v>295</v>
      </c>
      <c r="L51" s="19">
        <f t="shared" si="17"/>
        <v>-8.7109557202341856E-2</v>
      </c>
      <c r="M51" s="19">
        <f t="shared" si="18"/>
        <v>0.27116502591815778</v>
      </c>
      <c r="P51" s="137"/>
      <c r="Q51" s="134"/>
    </row>
    <row r="52" spans="1:17" x14ac:dyDescent="0.25">
      <c r="A52" s="17"/>
      <c r="B52" s="4"/>
      <c r="C52" s="4"/>
      <c r="D52" s="4"/>
      <c r="E52" s="4"/>
      <c r="F52" s="6">
        <f t="shared" si="13"/>
        <v>0</v>
      </c>
      <c r="G52" s="6">
        <f t="shared" si="14"/>
        <v>0</v>
      </c>
      <c r="H52" s="6">
        <f t="shared" si="15"/>
        <v>0</v>
      </c>
      <c r="I52" s="4">
        <f t="shared" si="16"/>
        <v>0</v>
      </c>
      <c r="J52" s="4">
        <f t="shared" si="16"/>
        <v>0</v>
      </c>
      <c r="K52" s="39">
        <v>0</v>
      </c>
      <c r="L52" s="19">
        <f t="shared" si="17"/>
        <v>0</v>
      </c>
      <c r="M52" s="19">
        <f t="shared" si="18"/>
        <v>0</v>
      </c>
      <c r="P52" s="137"/>
      <c r="Q52" s="134"/>
    </row>
    <row r="53" spans="1:17" x14ac:dyDescent="0.25">
      <c r="A53" s="17" t="s">
        <v>16</v>
      </c>
      <c r="B53" s="64">
        <f>B15+B34</f>
        <v>37405258</v>
      </c>
      <c r="C53" s="64">
        <f>C15+C34</f>
        <v>7997420</v>
      </c>
      <c r="D53" s="4">
        <f>D15+D34</f>
        <v>140812.87</v>
      </c>
      <c r="E53" s="4">
        <f>E15+E34</f>
        <v>40598.44</v>
      </c>
      <c r="F53" s="6">
        <f t="shared" si="13"/>
        <v>265.63806277082489</v>
      </c>
      <c r="G53" s="6">
        <f t="shared" si="14"/>
        <v>196.98835718810869</v>
      </c>
      <c r="H53" s="6">
        <f t="shared" si="15"/>
        <v>250.27479267968465</v>
      </c>
      <c r="I53" s="4">
        <f t="shared" si="16"/>
        <v>39390730</v>
      </c>
      <c r="J53" s="4">
        <f t="shared" si="16"/>
        <v>3968504</v>
      </c>
      <c r="K53" s="39">
        <v>253</v>
      </c>
      <c r="L53" s="19">
        <f t="shared" si="17"/>
        <v>-5.0404549496797853E-2</v>
      </c>
      <c r="M53" s="19">
        <f t="shared" si="18"/>
        <v>-1.0771570436029046E-2</v>
      </c>
      <c r="P53" s="137"/>
      <c r="Q53" s="134"/>
    </row>
    <row r="54" spans="1:17" x14ac:dyDescent="0.25">
      <c r="A54" s="17" t="s">
        <v>17</v>
      </c>
      <c r="B54" s="64">
        <f>B16+B35</f>
        <v>521828.29000000004</v>
      </c>
      <c r="C54" s="4"/>
      <c r="D54" s="4">
        <f>D16+D35</f>
        <v>1315.5</v>
      </c>
      <c r="E54" s="4"/>
      <c r="F54" s="6">
        <f t="shared" si="13"/>
        <v>396.67676928924368</v>
      </c>
      <c r="G54" s="6">
        <f t="shared" si="14"/>
        <v>0</v>
      </c>
      <c r="H54" s="6">
        <f t="shared" si="15"/>
        <v>396.67676928924368</v>
      </c>
      <c r="I54" s="4">
        <f t="shared" si="16"/>
        <v>734031</v>
      </c>
      <c r="J54" s="4">
        <f t="shared" si="16"/>
        <v>0</v>
      </c>
      <c r="K54" s="39">
        <v>334</v>
      </c>
      <c r="L54" s="19">
        <f t="shared" si="17"/>
        <v>-0.28909229991648849</v>
      </c>
      <c r="M54" s="19">
        <f t="shared" si="18"/>
        <v>0.18765499787198706</v>
      </c>
      <c r="P54" s="137"/>
      <c r="Q54" s="134"/>
    </row>
    <row r="55" spans="1:17" x14ac:dyDescent="0.25">
      <c r="A55" s="17" t="s">
        <v>19</v>
      </c>
      <c r="B55" s="64">
        <f>B17+B36</f>
        <v>4388131</v>
      </c>
      <c r="C55" s="4"/>
      <c r="D55" s="4">
        <f>D17+D36</f>
        <v>14900</v>
      </c>
      <c r="E55" s="4"/>
      <c r="F55" s="6">
        <f>IF(D55=0,0,B55/D55)</f>
        <v>294.50543624161077</v>
      </c>
      <c r="G55" s="6">
        <f t="shared" si="14"/>
        <v>0</v>
      </c>
      <c r="H55" s="6">
        <f t="shared" si="15"/>
        <v>294.50543624161077</v>
      </c>
      <c r="I55" s="4">
        <f t="shared" si="16"/>
        <v>8446624.0899999999</v>
      </c>
      <c r="J55" s="4">
        <f t="shared" si="16"/>
        <v>0</v>
      </c>
      <c r="K55" s="39">
        <v>279</v>
      </c>
      <c r="L55" s="19">
        <f t="shared" si="17"/>
        <v>-0.48048700247059295</v>
      </c>
      <c r="M55" s="19">
        <f t="shared" si="18"/>
        <v>5.5575040292511708E-2</v>
      </c>
      <c r="P55" s="137"/>
      <c r="Q55" s="134"/>
    </row>
    <row r="56" spans="1:17" x14ac:dyDescent="0.25">
      <c r="A56" s="18" t="s">
        <v>20</v>
      </c>
      <c r="B56" s="63">
        <f>SUM(B45:B55)</f>
        <v>52623477.979999997</v>
      </c>
      <c r="C56" s="63">
        <f>SUM(C45:C55)</f>
        <v>8344913</v>
      </c>
      <c r="D56" s="8">
        <f>SUM(D45:D55)</f>
        <v>195441.57</v>
      </c>
      <c r="E56" s="8">
        <f>SUM(E45:E55)</f>
        <v>42448.44</v>
      </c>
      <c r="F56" s="9">
        <f>IF(D56=0,0,B56/D56)</f>
        <v>269.25427369417878</v>
      </c>
      <c r="G56" s="9">
        <f>IF(E56=0,0,C56/E56)</f>
        <v>196.58939174207578</v>
      </c>
      <c r="H56" s="9">
        <f>IF(D56+E56=0,0,(B56+C56)/(D56+E56))</f>
        <v>256.28815173869634</v>
      </c>
      <c r="I56" s="4">
        <f t="shared" si="16"/>
        <v>57299905.420000002</v>
      </c>
      <c r="J56" s="4">
        <f t="shared" si="16"/>
        <v>4237502</v>
      </c>
      <c r="K56" s="121">
        <v>260.39999999999998</v>
      </c>
      <c r="L56" s="32">
        <f t="shared" si="17"/>
        <v>-8.1613179039694214E-2</v>
      </c>
      <c r="M56" s="32">
        <f t="shared" si="18"/>
        <v>-1.5790507915912577E-2</v>
      </c>
    </row>
    <row r="57" spans="1:17" x14ac:dyDescent="0.25">
      <c r="K57" s="122"/>
    </row>
    <row r="61" spans="1:17" x14ac:dyDescent="0.25">
      <c r="B61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9" max="16383" man="1"/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1"/>
  <sheetViews>
    <sheetView showZeros="0" topLeftCell="A5" zoomScale="84" zoomScaleNormal="84" workbookViewId="0">
      <selection activeCell="E41" sqref="E41"/>
    </sheetView>
  </sheetViews>
  <sheetFormatPr baseColWidth="10" defaultColWidth="9" defaultRowHeight="15.75" x14ac:dyDescent="0.25"/>
  <cols>
    <col min="1" max="1" width="18.75" style="14" customWidth="1"/>
    <col min="2" max="2" width="13.75" customWidth="1"/>
    <col min="3" max="5" width="11.75" customWidth="1"/>
    <col min="6" max="8" width="9.25" customWidth="1"/>
    <col min="9" max="9" width="11.375" customWidth="1"/>
    <col min="10" max="10" width="13" bestFit="1" customWidth="1"/>
    <col min="11" max="11" width="9.25" customWidth="1"/>
    <col min="12" max="12" width="9" customWidth="1"/>
    <col min="13" max="13" width="9.25" customWidth="1"/>
  </cols>
  <sheetData>
    <row r="2" spans="1:13" ht="20.25" x14ac:dyDescent="0.3">
      <c r="A2" s="20" t="str">
        <f>"MÅLESTATISTIKK FOR RØRLEGGERE - 1. HALVÅR "&amp;FORS!$A$14</f>
        <v>MÅLESTATISTIKK FOR RØRLEGGERE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7</v>
      </c>
      <c r="B7" s="21"/>
      <c r="C7" s="21"/>
      <c r="D7" s="21"/>
      <c r="E7" s="21"/>
      <c r="F7" s="6">
        <f t="shared" ref="F7:G13" si="0">IF(D7=0,0,B7/D7)</f>
        <v>0</v>
      </c>
      <c r="G7" s="6">
        <f t="shared" si="0"/>
        <v>0</v>
      </c>
      <c r="H7" s="6">
        <f t="shared" ref="H7:H13" si="1">IF(D7+E7=0,0,(B7+C7)/(D7+E7))</f>
        <v>0</v>
      </c>
      <c r="I7" s="4"/>
      <c r="J7" s="4"/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11</v>
      </c>
      <c r="B8" s="21"/>
      <c r="C8" s="21"/>
      <c r="D8" s="21"/>
      <c r="E8" s="21"/>
      <c r="F8" s="6">
        <f t="shared" si="0"/>
        <v>0</v>
      </c>
      <c r="G8" s="6">
        <f t="shared" si="0"/>
        <v>0</v>
      </c>
      <c r="H8" s="6">
        <f t="shared" si="1"/>
        <v>0</v>
      </c>
      <c r="I8" s="4">
        <v>2541354</v>
      </c>
      <c r="J8" s="4">
        <v>1693791</v>
      </c>
      <c r="K8" s="6">
        <v>222.89</v>
      </c>
      <c r="L8" s="19">
        <f t="shared" ref="L8:L12" si="2">IF(I8=0,0,(B8-I8)/I8)</f>
        <v>-1</v>
      </c>
      <c r="M8" s="19">
        <f t="shared" ref="M8:M12" si="3">IF(K8=0,0,(H8-K8)/K8)</f>
        <v>-1</v>
      </c>
    </row>
    <row r="9" spans="1:13" x14ac:dyDescent="0.25">
      <c r="A9" s="17" t="s">
        <v>13</v>
      </c>
      <c r="B9" s="21"/>
      <c r="C9" s="21"/>
      <c r="D9" s="21"/>
      <c r="E9" s="21"/>
      <c r="F9" s="6">
        <f t="shared" si="0"/>
        <v>0</v>
      </c>
      <c r="G9" s="6">
        <f t="shared" si="0"/>
        <v>0</v>
      </c>
      <c r="H9" s="6">
        <f t="shared" si="1"/>
        <v>0</v>
      </c>
      <c r="I9" s="4"/>
      <c r="J9" s="4"/>
      <c r="K9" s="6">
        <v>0</v>
      </c>
      <c r="L9" s="19">
        <f t="shared" si="2"/>
        <v>0</v>
      </c>
      <c r="M9" s="19">
        <f t="shared" si="3"/>
        <v>0</v>
      </c>
    </row>
    <row r="10" spans="1:13" x14ac:dyDescent="0.25">
      <c r="A10" s="17" t="s">
        <v>15</v>
      </c>
      <c r="B10" s="21"/>
      <c r="C10" s="21"/>
      <c r="D10" s="21"/>
      <c r="E10" s="21"/>
      <c r="F10" s="6">
        <f t="shared" si="0"/>
        <v>0</v>
      </c>
      <c r="G10" s="6">
        <f t="shared" si="0"/>
        <v>0</v>
      </c>
      <c r="H10" s="6">
        <f t="shared" si="1"/>
        <v>0</v>
      </c>
      <c r="I10" s="4"/>
      <c r="J10" s="4"/>
      <c r="K10" s="6">
        <v>0</v>
      </c>
      <c r="L10" s="19">
        <f t="shared" si="2"/>
        <v>0</v>
      </c>
      <c r="M10" s="19">
        <f t="shared" si="3"/>
        <v>0</v>
      </c>
    </row>
    <row r="11" spans="1:13" x14ac:dyDescent="0.25">
      <c r="A11" s="17" t="s">
        <v>16</v>
      </c>
      <c r="B11" s="111">
        <v>13978670.529999999</v>
      </c>
      <c r="C11" s="113">
        <v>2963212.05</v>
      </c>
      <c r="D11" s="112">
        <v>47860</v>
      </c>
      <c r="E11" s="114">
        <v>13616.3</v>
      </c>
      <c r="F11" s="6">
        <f t="shared" si="0"/>
        <v>292.07418575010445</v>
      </c>
      <c r="G11" s="6">
        <f t="shared" si="0"/>
        <v>217.62241210901641</v>
      </c>
      <c r="H11" s="6">
        <f t="shared" si="1"/>
        <v>275.58396617883636</v>
      </c>
      <c r="I11" s="4">
        <v>6449409.5099999998</v>
      </c>
      <c r="J11" s="4">
        <v>1587715.82</v>
      </c>
      <c r="K11" s="6">
        <v>260.81</v>
      </c>
      <c r="L11" s="19">
        <f t="shared" si="2"/>
        <v>1.1674341671630029</v>
      </c>
      <c r="M11" s="19">
        <f t="shared" si="3"/>
        <v>5.6646471296485409E-2</v>
      </c>
    </row>
    <row r="12" spans="1:13" ht="16.5" thickBot="1" x14ac:dyDescent="0.3">
      <c r="A12" s="17" t="s">
        <v>19</v>
      </c>
      <c r="B12" s="138">
        <v>22965092</v>
      </c>
      <c r="C12" s="133"/>
      <c r="D12" s="138">
        <v>82314.5</v>
      </c>
      <c r="E12" s="89"/>
      <c r="F12" s="6">
        <f t="shared" si="0"/>
        <v>278.99206093701594</v>
      </c>
      <c r="G12" s="6">
        <f t="shared" si="0"/>
        <v>0</v>
      </c>
      <c r="H12" s="6">
        <f>IF(D12+E12=0,0,(B12+C12)/(D12+E12))</f>
        <v>278.99206093701594</v>
      </c>
      <c r="I12" s="4">
        <v>17445059</v>
      </c>
      <c r="J12" s="4">
        <v>949206</v>
      </c>
      <c r="K12" s="6">
        <v>257.97000000000003</v>
      </c>
      <c r="L12" s="19">
        <f t="shared" si="2"/>
        <v>0.31642386534777556</v>
      </c>
      <c r="M12" s="19">
        <f t="shared" si="3"/>
        <v>8.1490331965018828E-2</v>
      </c>
    </row>
    <row r="13" spans="1:13" s="11" customFormat="1" ht="16.5" thickTop="1" x14ac:dyDescent="0.25">
      <c r="A13" s="18" t="s">
        <v>20</v>
      </c>
      <c r="B13" s="8">
        <f>SUM(B7:B12)</f>
        <v>36943762.530000001</v>
      </c>
      <c r="C13" s="8">
        <f>SUM(C7:C12)</f>
        <v>2963212.05</v>
      </c>
      <c r="D13" s="8">
        <f>SUM(D7:D12)</f>
        <v>130174.5</v>
      </c>
      <c r="E13" s="8">
        <f>SUM(E7:E12)</f>
        <v>13616.3</v>
      </c>
      <c r="F13" s="9">
        <f t="shared" si="0"/>
        <v>283.80183930032382</v>
      </c>
      <c r="G13" s="9">
        <f t="shared" si="0"/>
        <v>217.62241210901641</v>
      </c>
      <c r="H13" s="9">
        <f t="shared" si="1"/>
        <v>277.53496454571501</v>
      </c>
      <c r="I13" s="8">
        <f>SUM(I7:I12)</f>
        <v>26435822.509999998</v>
      </c>
      <c r="J13" s="8">
        <v>1684944</v>
      </c>
      <c r="K13" s="9">
        <v>253.19</v>
      </c>
      <c r="L13" s="32">
        <f>IF(I13=0,0,(B13-I13)/I13)</f>
        <v>0.39748867340992011</v>
      </c>
      <c r="M13" s="32">
        <f>IF(K13=0,0,(H13-K13)/K13)</f>
        <v>9.6152946584442581E-2</v>
      </c>
    </row>
    <row r="14" spans="1:13" x14ac:dyDescent="0.25">
      <c r="J14" s="38"/>
    </row>
    <row r="16" spans="1:13" ht="20.25" x14ac:dyDescent="0.3">
      <c r="A16" s="20" t="str">
        <f>"MÅLESTATISTIKK FOR RØRLEGGERE - 2. HALVÅR "&amp;FORS!$A$14</f>
        <v>MÅLESTATISTIKK FOR RØRLEGGERE - 2. HALVÅR 2017</v>
      </c>
    </row>
    <row r="17" spans="1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5"/>
      <c r="B18" s="2" t="s">
        <v>4</v>
      </c>
      <c r="C18" s="3"/>
      <c r="D18" s="2" t="s">
        <v>5</v>
      </c>
      <c r="E18" s="3"/>
      <c r="F18" s="2" t="str">
        <f>"Fortjeneste 2. halvår  "&amp;FORS!$A$14-0</f>
        <v>Fortjeneste 2. halvår  2017</v>
      </c>
      <c r="G18" s="5"/>
      <c r="H18" s="3"/>
      <c r="I18" s="2" t="str">
        <f>" 2. halvår  "&amp;FORS!$A$14-1</f>
        <v xml:space="preserve"> 2. halvår  2016</v>
      </c>
      <c r="J18" s="5"/>
      <c r="K18" s="3"/>
      <c r="L18" s="46" t="s">
        <v>29</v>
      </c>
      <c r="M18" s="3"/>
    </row>
    <row r="19" spans="1:13" x14ac:dyDescent="0.25">
      <c r="A19" s="47"/>
      <c r="B19" s="48" t="s">
        <v>6</v>
      </c>
      <c r="C19" s="48" t="s">
        <v>6</v>
      </c>
      <c r="D19" s="48" t="s">
        <v>6</v>
      </c>
      <c r="E19" s="48" t="s">
        <v>6</v>
      </c>
      <c r="F19" s="48" t="s">
        <v>6</v>
      </c>
      <c r="G19" s="48" t="s">
        <v>6</v>
      </c>
      <c r="H19" s="49" t="s">
        <v>33</v>
      </c>
      <c r="I19" s="48" t="s">
        <v>6</v>
      </c>
      <c r="J19" s="48" t="s">
        <v>6</v>
      </c>
      <c r="K19" s="49" t="s">
        <v>31</v>
      </c>
      <c r="L19" s="48" t="s">
        <v>6</v>
      </c>
      <c r="M19" s="49" t="s">
        <v>31</v>
      </c>
    </row>
    <row r="20" spans="1:13" x14ac:dyDescent="0.25">
      <c r="A20" s="51"/>
      <c r="B20" s="52" t="s">
        <v>30</v>
      </c>
      <c r="C20" s="52" t="s">
        <v>32</v>
      </c>
      <c r="D20" s="52" t="s">
        <v>30</v>
      </c>
      <c r="E20" s="52" t="s">
        <v>32</v>
      </c>
      <c r="F20" s="52" t="s">
        <v>30</v>
      </c>
      <c r="G20" s="52" t="s">
        <v>32</v>
      </c>
      <c r="H20" s="53" t="s">
        <v>34</v>
      </c>
      <c r="I20" s="52" t="s">
        <v>30</v>
      </c>
      <c r="J20" s="52" t="s">
        <v>32</v>
      </c>
      <c r="K20" s="53" t="s">
        <v>28</v>
      </c>
      <c r="L20" s="52" t="s">
        <v>30</v>
      </c>
      <c r="M20" s="53" t="s">
        <v>28</v>
      </c>
    </row>
    <row r="21" spans="1:13" x14ac:dyDescent="0.25">
      <c r="A21" s="17" t="s">
        <v>7</v>
      </c>
      <c r="B21" s="21"/>
      <c r="C21" s="21"/>
      <c r="D21" s="21"/>
      <c r="E21" s="21"/>
      <c r="F21" s="6">
        <f t="shared" ref="F21:G27" si="4">IF(D21=0,0,B21/D21)</f>
        <v>0</v>
      </c>
      <c r="G21" s="6">
        <f t="shared" si="4"/>
        <v>0</v>
      </c>
      <c r="H21" s="6">
        <f t="shared" ref="H21:H27" si="5">IF(D21+E21=0,0,(B21+C21)/(D21+E21))</f>
        <v>0</v>
      </c>
      <c r="I21" s="4"/>
      <c r="J21" s="4"/>
      <c r="K21" s="6"/>
      <c r="L21" s="19">
        <f>IF(I21=0,0,(B21-I21)/I21)</f>
        <v>0</v>
      </c>
      <c r="M21" s="19">
        <f>IF(K21=0,0,(H21-K21)/K21)</f>
        <v>0</v>
      </c>
    </row>
    <row r="22" spans="1:13" x14ac:dyDescent="0.25">
      <c r="A22" s="17" t="s">
        <v>11</v>
      </c>
      <c r="B22" s="62"/>
      <c r="C22" s="62"/>
      <c r="D22" s="21"/>
      <c r="E22" s="21"/>
      <c r="F22" s="6">
        <f>IF(D22=0,0,B22/D22)</f>
        <v>0</v>
      </c>
      <c r="G22" s="6">
        <f>IF(E22=0,0,C22/E22)</f>
        <v>0</v>
      </c>
      <c r="H22" s="6">
        <f>IF(D22+E22=0,0,(B22+C22)/(D22+E22))</f>
        <v>0</v>
      </c>
      <c r="I22" s="4">
        <v>845073</v>
      </c>
      <c r="J22" s="4"/>
      <c r="K22" s="6">
        <v>280.2</v>
      </c>
      <c r="L22" s="19">
        <f t="shared" ref="L22:L25" si="6">IF(I22=0,0,(B22-I22)/I22)</f>
        <v>-1</v>
      </c>
      <c r="M22" s="19">
        <f t="shared" ref="M22:M27" si="7">IF(K22=0,0,(H22-K22)/K22)</f>
        <v>-1</v>
      </c>
    </row>
    <row r="23" spans="1:13" x14ac:dyDescent="0.25">
      <c r="A23" s="17" t="s">
        <v>13</v>
      </c>
      <c r="B23" s="21"/>
      <c r="C23" s="21"/>
      <c r="D23" s="21"/>
      <c r="E23" s="21"/>
      <c r="F23" s="6">
        <f t="shared" si="4"/>
        <v>0</v>
      </c>
      <c r="G23" s="6">
        <f t="shared" si="4"/>
        <v>0</v>
      </c>
      <c r="H23" s="6">
        <f t="shared" si="5"/>
        <v>0</v>
      </c>
      <c r="I23" s="4"/>
      <c r="J23" s="4"/>
      <c r="K23" s="6">
        <v>0</v>
      </c>
      <c r="L23" s="19">
        <f t="shared" si="6"/>
        <v>0</v>
      </c>
      <c r="M23" s="19">
        <f t="shared" si="7"/>
        <v>0</v>
      </c>
    </row>
    <row r="24" spans="1:13" x14ac:dyDescent="0.25">
      <c r="A24" s="17" t="s">
        <v>15</v>
      </c>
      <c r="B24" s="21"/>
      <c r="C24" s="21"/>
      <c r="D24" s="21"/>
      <c r="E24" s="21"/>
      <c r="F24" s="6">
        <f t="shared" si="4"/>
        <v>0</v>
      </c>
      <c r="G24" s="6">
        <f t="shared" si="4"/>
        <v>0</v>
      </c>
      <c r="H24" s="6">
        <f t="shared" si="5"/>
        <v>0</v>
      </c>
      <c r="I24" s="4"/>
      <c r="J24" s="4"/>
      <c r="K24" s="6">
        <v>0</v>
      </c>
      <c r="L24" s="19">
        <f t="shared" si="6"/>
        <v>0</v>
      </c>
      <c r="M24" s="19">
        <f t="shared" si="7"/>
        <v>0</v>
      </c>
    </row>
    <row r="25" spans="1:13" x14ac:dyDescent="0.25">
      <c r="A25" s="17" t="s">
        <v>16</v>
      </c>
      <c r="B25" s="157">
        <v>14614313.09</v>
      </c>
      <c r="C25" s="81">
        <v>778854.67</v>
      </c>
      <c r="D25" s="8">
        <v>51800.6</v>
      </c>
      <c r="E25">
        <v>4016.1</v>
      </c>
      <c r="F25" s="6">
        <f t="shared" si="4"/>
        <v>282.12632845951595</v>
      </c>
      <c r="G25" s="6">
        <f>IF(E25=0,0,C25/E25)</f>
        <v>193.93308682552725</v>
      </c>
      <c r="H25" s="6">
        <f t="shared" si="5"/>
        <v>275.780684992126</v>
      </c>
      <c r="I25" s="56">
        <v>17846326.469999999</v>
      </c>
      <c r="J25" s="4">
        <v>4299735.16</v>
      </c>
      <c r="K25" s="6">
        <v>258.54000000000002</v>
      </c>
      <c r="L25" s="19">
        <f t="shared" si="6"/>
        <v>-0.18110244623357488</v>
      </c>
      <c r="M25" s="19">
        <f t="shared" si="7"/>
        <v>6.6684787623292247E-2</v>
      </c>
    </row>
    <row r="26" spans="1:13" x14ac:dyDescent="0.25">
      <c r="A26" s="17" t="s">
        <v>19</v>
      </c>
      <c r="B26" s="158">
        <v>22002906.620000001</v>
      </c>
      <c r="C26">
        <v>423162.83</v>
      </c>
      <c r="D26" s="142">
        <v>80652</v>
      </c>
      <c r="E26" s="164">
        <v>2342</v>
      </c>
      <c r="F26" s="6">
        <f t="shared" si="4"/>
        <v>272.81290755343946</v>
      </c>
      <c r="G26" s="6">
        <f>IF(E26=0,0,C26/E26)</f>
        <v>180.68438514090522</v>
      </c>
      <c r="H26" s="6">
        <f t="shared" si="5"/>
        <v>270.21314131142009</v>
      </c>
      <c r="I26" s="56">
        <v>21060290</v>
      </c>
      <c r="J26" s="4">
        <v>4133316</v>
      </c>
      <c r="K26" s="6">
        <v>262.8</v>
      </c>
      <c r="L26" s="19">
        <f>IF(I26=0,0,(C25-I26)/I26)</f>
        <v>-0.96301785635430459</v>
      </c>
      <c r="M26" s="19">
        <f t="shared" si="7"/>
        <v>2.8208300271765893E-2</v>
      </c>
    </row>
    <row r="27" spans="1:13" x14ac:dyDescent="0.25">
      <c r="A27" s="18" t="s">
        <v>20</v>
      </c>
      <c r="B27" s="64">
        <f>SUM(B21:B26)</f>
        <v>36617219.710000001</v>
      </c>
      <c r="C27" s="63">
        <f>SUM(C21:C26)</f>
        <v>1202017.5</v>
      </c>
      <c r="D27" s="8">
        <f>SUM(D21:D26)</f>
        <v>132452.6</v>
      </c>
      <c r="E27" s="8">
        <f>SUM(E21:E26)</f>
        <v>6358.1</v>
      </c>
      <c r="F27" s="6">
        <f t="shared" si="4"/>
        <v>276.45527313167128</v>
      </c>
      <c r="G27" s="9">
        <f t="shared" si="4"/>
        <v>189.05294034381339</v>
      </c>
      <c r="H27" s="6">
        <f t="shared" si="5"/>
        <v>272.45188742654562</v>
      </c>
      <c r="I27" s="8">
        <f>SUM(I21:I26)</f>
        <v>39751689.469999999</v>
      </c>
      <c r="J27" s="8">
        <f>SUM(J21:J26)</f>
        <v>8433051.1600000001</v>
      </c>
      <c r="K27" s="9">
        <v>261.11</v>
      </c>
      <c r="L27" s="10">
        <f>IF(I27=0,0,(D25-I27)/I27)</f>
        <v>-0.99869689563662212</v>
      </c>
      <c r="M27" s="10">
        <f t="shared" si="7"/>
        <v>4.3437200515283256E-2</v>
      </c>
    </row>
    <row r="28" spans="1:13" x14ac:dyDescent="0.25">
      <c r="J28" s="38"/>
    </row>
    <row r="30" spans="1:13" ht="20.25" x14ac:dyDescent="0.3">
      <c r="A30" s="20" t="str">
        <f>"MÅLESTATISTIKK FOR RØRLEGGERE - GJENNOMSNITT HELE ÅRET  "&amp;FORS!$A$14</f>
        <v>MÅLESTATISTIKK FOR RØRLEGGERE - GJENNOMSNITT HELE ÅRET  2017</v>
      </c>
    </row>
    <row r="31" spans="1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5"/>
      <c r="B32" s="2" t="s">
        <v>4</v>
      </c>
      <c r="C32" s="3"/>
      <c r="D32" s="2" t="s">
        <v>5</v>
      </c>
      <c r="E32" s="3"/>
      <c r="F32" s="2" t="str">
        <f>"Fortjeneste hele  "&amp;FORS!$A$14-0</f>
        <v>Fortjeneste hele  2017</v>
      </c>
      <c r="G32" s="5"/>
      <c r="H32" s="3"/>
      <c r="I32" s="2" t="str">
        <f>" Hele året  "&amp;FORS!$A$14-1</f>
        <v xml:space="preserve"> Hele året  2016</v>
      </c>
      <c r="J32" s="5"/>
      <c r="K32" s="3"/>
      <c r="L32" s="46" t="s">
        <v>29</v>
      </c>
      <c r="M32" s="3"/>
    </row>
    <row r="33" spans="1:13" x14ac:dyDescent="0.25">
      <c r="A33" s="47"/>
      <c r="B33" s="48" t="s">
        <v>6</v>
      </c>
      <c r="C33" s="48" t="s">
        <v>6</v>
      </c>
      <c r="D33" s="48" t="s">
        <v>6</v>
      </c>
      <c r="E33" s="48" t="s">
        <v>6</v>
      </c>
      <c r="F33" s="48" t="s">
        <v>6</v>
      </c>
      <c r="G33" s="48" t="s">
        <v>6</v>
      </c>
      <c r="H33" s="49" t="s">
        <v>33</v>
      </c>
      <c r="I33" s="48" t="s">
        <v>6</v>
      </c>
      <c r="J33" s="48" t="s">
        <v>6</v>
      </c>
      <c r="K33" s="49" t="s">
        <v>31</v>
      </c>
      <c r="L33" s="48" t="s">
        <v>6</v>
      </c>
      <c r="M33" s="49" t="s">
        <v>31</v>
      </c>
    </row>
    <row r="34" spans="1:13" x14ac:dyDescent="0.25">
      <c r="A34" s="51"/>
      <c r="B34" s="52" t="s">
        <v>30</v>
      </c>
      <c r="C34" s="52" t="s">
        <v>32</v>
      </c>
      <c r="D34" s="52" t="s">
        <v>30</v>
      </c>
      <c r="E34" s="52" t="s">
        <v>32</v>
      </c>
      <c r="F34" s="52" t="s">
        <v>30</v>
      </c>
      <c r="G34" s="52" t="s">
        <v>32</v>
      </c>
      <c r="H34" s="53" t="s">
        <v>34</v>
      </c>
      <c r="I34" s="52" t="s">
        <v>30</v>
      </c>
      <c r="J34" s="52" t="s">
        <v>32</v>
      </c>
      <c r="K34" s="53" t="s">
        <v>28</v>
      </c>
      <c r="L34" s="52" t="s">
        <v>30</v>
      </c>
      <c r="M34" s="53" t="s">
        <v>28</v>
      </c>
    </row>
    <row r="35" spans="1:13" x14ac:dyDescent="0.25">
      <c r="A35" s="17" t="s">
        <v>7</v>
      </c>
      <c r="B35" s="4"/>
      <c r="C35" s="4"/>
      <c r="D35" s="4"/>
      <c r="E35" s="4"/>
      <c r="F35" s="6">
        <f t="shared" ref="F35:G41" si="8">IF(D35=0,0,B35/D35)</f>
        <v>0</v>
      </c>
      <c r="G35" s="6">
        <f t="shared" si="8"/>
        <v>0</v>
      </c>
      <c r="H35" s="6">
        <f t="shared" ref="H35:H41" si="9">IF(D35+E35=0,0,(B35+C35)/(D35+E35))</f>
        <v>0</v>
      </c>
      <c r="I35" s="54">
        <f>I7+I21</f>
        <v>0</v>
      </c>
      <c r="J35" s="54">
        <f>J7+J21</f>
        <v>0</v>
      </c>
      <c r="K35" s="6"/>
      <c r="L35" s="19">
        <f>IF(I35=0,0,(B35-I35)/I35)</f>
        <v>0</v>
      </c>
      <c r="M35" s="19">
        <f>IF(K35=0,0,(H35-K35)/K35)</f>
        <v>0</v>
      </c>
    </row>
    <row r="36" spans="1:13" x14ac:dyDescent="0.25">
      <c r="A36" s="17" t="s">
        <v>11</v>
      </c>
      <c r="B36" s="4">
        <f>B8+B22</f>
        <v>0</v>
      </c>
      <c r="C36" s="4">
        <f>C8+C22</f>
        <v>0</v>
      </c>
      <c r="D36" s="4">
        <f>D8+D22</f>
        <v>0</v>
      </c>
      <c r="E36" s="4">
        <f>E8+E22</f>
        <v>0</v>
      </c>
      <c r="F36" s="6">
        <f>IF(D36=0,0,B36/D36)</f>
        <v>0</v>
      </c>
      <c r="G36" s="6">
        <f>IF(E36=0,0,C36/E36)</f>
        <v>0</v>
      </c>
      <c r="H36" s="6">
        <f>IF(D36+E36=0,0,(B36+C36)/(D36+E36))</f>
        <v>0</v>
      </c>
      <c r="I36" s="54">
        <f t="shared" ref="I36:J41" si="10">I8+I22</f>
        <v>3386427</v>
      </c>
      <c r="J36" s="54">
        <f t="shared" si="10"/>
        <v>1693791</v>
      </c>
      <c r="K36" s="6"/>
      <c r="L36" s="19">
        <f t="shared" ref="L36:L41" si="11">IF(I36=0,0,(B36-I36)/I36)</f>
        <v>-1</v>
      </c>
      <c r="M36" s="19">
        <f t="shared" ref="M36:M41" si="12">IF(K36=0,0,(H36-K36)/K36)</f>
        <v>0</v>
      </c>
    </row>
    <row r="37" spans="1:13" x14ac:dyDescent="0.25">
      <c r="A37" s="17" t="s">
        <v>13</v>
      </c>
      <c r="B37" s="4"/>
      <c r="C37" s="4"/>
      <c r="D37" s="4"/>
      <c r="E37" s="4"/>
      <c r="F37" s="6">
        <f t="shared" si="8"/>
        <v>0</v>
      </c>
      <c r="G37" s="6">
        <f t="shared" si="8"/>
        <v>0</v>
      </c>
      <c r="H37" s="6">
        <f t="shared" si="9"/>
        <v>0</v>
      </c>
      <c r="I37" s="54">
        <f t="shared" si="10"/>
        <v>0</v>
      </c>
      <c r="J37" s="54">
        <f t="shared" si="10"/>
        <v>0</v>
      </c>
      <c r="K37" s="6">
        <v>0</v>
      </c>
      <c r="L37" s="19">
        <f t="shared" si="11"/>
        <v>0</v>
      </c>
      <c r="M37" s="19">
        <f t="shared" si="12"/>
        <v>0</v>
      </c>
    </row>
    <row r="38" spans="1:13" x14ac:dyDescent="0.25">
      <c r="A38" s="17" t="s">
        <v>15</v>
      </c>
      <c r="B38" s="4"/>
      <c r="C38" s="4"/>
      <c r="D38" s="4"/>
      <c r="E38" s="4"/>
      <c r="F38" s="6">
        <f t="shared" si="8"/>
        <v>0</v>
      </c>
      <c r="G38" s="6">
        <f t="shared" si="8"/>
        <v>0</v>
      </c>
      <c r="H38" s="6">
        <f t="shared" si="9"/>
        <v>0</v>
      </c>
      <c r="I38" s="54">
        <f t="shared" si="10"/>
        <v>0</v>
      </c>
      <c r="J38" s="54">
        <f t="shared" si="10"/>
        <v>0</v>
      </c>
      <c r="K38" s="6">
        <v>0</v>
      </c>
      <c r="L38" s="19">
        <f t="shared" si="11"/>
        <v>0</v>
      </c>
      <c r="M38" s="19">
        <f t="shared" si="12"/>
        <v>0</v>
      </c>
    </row>
    <row r="39" spans="1:13" x14ac:dyDescent="0.25">
      <c r="A39" s="17" t="s">
        <v>16</v>
      </c>
      <c r="B39" s="4">
        <f t="shared" ref="B39:E40" si="13">B11+B25</f>
        <v>28592983.619999997</v>
      </c>
      <c r="C39" s="4">
        <f t="shared" si="13"/>
        <v>3742066.7199999997</v>
      </c>
      <c r="D39" s="4">
        <f t="shared" si="13"/>
        <v>99660.6</v>
      </c>
      <c r="E39" s="4">
        <f t="shared" si="13"/>
        <v>17632.399999999998</v>
      </c>
      <c r="F39" s="6">
        <f t="shared" si="8"/>
        <v>286.90358697419038</v>
      </c>
      <c r="G39" s="6">
        <f t="shared" si="8"/>
        <v>212.22673714298679</v>
      </c>
      <c r="H39" s="6">
        <f t="shared" si="9"/>
        <v>275.67757956570296</v>
      </c>
      <c r="I39" s="54">
        <f t="shared" si="10"/>
        <v>24295735.979999997</v>
      </c>
      <c r="J39" s="54">
        <f t="shared" si="10"/>
        <v>5887450.9800000004</v>
      </c>
      <c r="K39" s="6">
        <v>259.14</v>
      </c>
      <c r="L39" s="19">
        <f t="shared" si="11"/>
        <v>0.17687250320539585</v>
      </c>
      <c r="M39" s="19">
        <f t="shared" si="12"/>
        <v>6.3817162791166823E-2</v>
      </c>
    </row>
    <row r="40" spans="1:13" x14ac:dyDescent="0.25">
      <c r="A40" s="17" t="s">
        <v>19</v>
      </c>
      <c r="B40" s="4">
        <f t="shared" si="13"/>
        <v>44967998.620000005</v>
      </c>
      <c r="C40" s="4">
        <f t="shared" si="13"/>
        <v>423162.83</v>
      </c>
      <c r="D40" s="4">
        <f t="shared" si="13"/>
        <v>162966.5</v>
      </c>
      <c r="E40" s="4">
        <f t="shared" si="13"/>
        <v>2342</v>
      </c>
      <c r="F40" s="6">
        <f t="shared" si="8"/>
        <v>275.93400250971831</v>
      </c>
      <c r="G40" s="6">
        <f t="shared" si="8"/>
        <v>180.68438514090522</v>
      </c>
      <c r="H40" s="6">
        <f t="shared" si="9"/>
        <v>274.584558265304</v>
      </c>
      <c r="I40" s="54">
        <f t="shared" si="10"/>
        <v>38505349</v>
      </c>
      <c r="J40" s="54">
        <f t="shared" si="10"/>
        <v>5082522</v>
      </c>
      <c r="K40" s="6">
        <v>260.74</v>
      </c>
      <c r="L40" s="19">
        <f t="shared" si="11"/>
        <v>0.16783771054769572</v>
      </c>
      <c r="M40" s="19">
        <f t="shared" si="12"/>
        <v>5.3097178282212117E-2</v>
      </c>
    </row>
    <row r="41" spans="1:13" x14ac:dyDescent="0.25">
      <c r="A41" s="18" t="s">
        <v>20</v>
      </c>
      <c r="B41" s="8">
        <f>SUM(B35:B40)</f>
        <v>73560982.24000001</v>
      </c>
      <c r="C41" s="8">
        <f>SUM(C35:C40)</f>
        <v>4165229.55</v>
      </c>
      <c r="D41" s="8">
        <f>SUM(D35:D40)</f>
        <v>262627.09999999998</v>
      </c>
      <c r="E41" s="8">
        <f>SUM(E35:E40)</f>
        <v>19974.399999999998</v>
      </c>
      <c r="F41" s="9">
        <f t="shared" si="8"/>
        <v>280.09669314400537</v>
      </c>
      <c r="G41" s="9">
        <f t="shared" si="8"/>
        <v>208.5283938441205</v>
      </c>
      <c r="H41" s="9">
        <f t="shared" si="9"/>
        <v>275.03821384529101</v>
      </c>
      <c r="I41" s="54">
        <f t="shared" si="10"/>
        <v>66187511.979999997</v>
      </c>
      <c r="J41" s="54">
        <f t="shared" si="10"/>
        <v>10117995.16</v>
      </c>
      <c r="K41" s="31">
        <v>257.97000000000003</v>
      </c>
      <c r="L41" s="10">
        <f t="shared" si="11"/>
        <v>0.11140274108245779</v>
      </c>
      <c r="M41" s="10">
        <f t="shared" si="12"/>
        <v>6.6163561054738848E-2</v>
      </c>
    </row>
  </sheetData>
  <phoneticPr fontId="0" type="noConversion"/>
  <pageMargins left="0.59055118110236227" right="0.19685039370078741" top="0.98425196850393704" bottom="4.44000000000000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4" max="16383" man="1"/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3"/>
  <sheetViews>
    <sheetView showZeros="0" topLeftCell="A14" zoomScale="84" zoomScaleNormal="84" workbookViewId="0">
      <selection activeCell="B38" sqref="B38"/>
    </sheetView>
  </sheetViews>
  <sheetFormatPr baseColWidth="10" defaultColWidth="9" defaultRowHeight="15.75" x14ac:dyDescent="0.25"/>
  <cols>
    <col min="1" max="1" width="16.125" style="14" customWidth="1"/>
    <col min="2" max="2" width="15.375" customWidth="1"/>
    <col min="3" max="5" width="11.75" customWidth="1"/>
    <col min="6" max="6" width="10.25" customWidth="1"/>
    <col min="7" max="8" width="9.25" customWidth="1"/>
    <col min="9" max="9" width="10.875" customWidth="1"/>
    <col min="10" max="10" width="10.125" customWidth="1"/>
    <col min="11" max="13" width="9.25" customWidth="1"/>
  </cols>
  <sheetData>
    <row r="2" spans="1:13" ht="20.25" x14ac:dyDescent="0.3">
      <c r="A2" s="20" t="str">
        <f>"MÅLESTATISTIKK FOR TAKTEKKERE - 1. HALVÅR "&amp;FORS!$A$14</f>
        <v>MÅLESTATISTIKK FOR TAKTEKKERE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84">
        <v>183152</v>
      </c>
      <c r="C7" s="75"/>
      <c r="D7" s="85">
        <v>642</v>
      </c>
      <c r="E7" s="108"/>
      <c r="F7" s="6">
        <f>IF(D7=0,0,B7/D7)</f>
        <v>285.28348909657319</v>
      </c>
      <c r="G7" s="6">
        <f>IF(E7=0,0,C7/E7)</f>
        <v>0</v>
      </c>
      <c r="H7" s="6">
        <f>IF(D7+E7=0,0,(B7+C7)/(D7+E7))</f>
        <v>285.28348909657319</v>
      </c>
      <c r="I7" s="21">
        <v>10621</v>
      </c>
      <c r="J7" s="21">
        <v>77406</v>
      </c>
      <c r="K7" s="6">
        <v>190.33</v>
      </c>
      <c r="L7" s="19">
        <f>IF(I7=0,0,(B7-I7)/I7)</f>
        <v>16.244327276151022</v>
      </c>
      <c r="M7" s="19">
        <f>IF(K7=0,0,(H7-K7)/K7)</f>
        <v>0.49888871484565317</v>
      </c>
    </row>
    <row r="8" spans="1:13" x14ac:dyDescent="0.25">
      <c r="A8" s="17" t="s">
        <v>9</v>
      </c>
      <c r="B8" s="69"/>
      <c r="C8" s="21"/>
      <c r="D8" s="21"/>
      <c r="E8" s="21"/>
      <c r="F8" s="6">
        <f t="shared" ref="F8:F15" si="0">IF(D8=0,0,B8/D8)</f>
        <v>0</v>
      </c>
      <c r="G8" s="6">
        <f t="shared" ref="G8:G15" si="1">IF(E8=0,0,C8/E8)</f>
        <v>0</v>
      </c>
      <c r="H8" s="6">
        <f t="shared" ref="H8:H15" si="2">IF(D8+E8=0,0,(B8+C8)/(D8+E8))</f>
        <v>0</v>
      </c>
      <c r="I8" s="21"/>
      <c r="J8" s="21"/>
      <c r="K8" s="6">
        <v>0</v>
      </c>
      <c r="L8" s="19">
        <f t="shared" ref="L8:L11" si="3">IF(I8=0,0,(B8-I8)/I8)</f>
        <v>0</v>
      </c>
      <c r="M8" s="19">
        <f t="shared" ref="M8:M11" si="4">IF(K8=0,0,(H8-K8)/K8)</f>
        <v>0</v>
      </c>
    </row>
    <row r="9" spans="1:13" x14ac:dyDescent="0.25">
      <c r="A9" s="17" t="s">
        <v>8</v>
      </c>
      <c r="B9" s="69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6">
        <v>0</v>
      </c>
      <c r="L9" s="19">
        <f t="shared" si="3"/>
        <v>0</v>
      </c>
      <c r="M9" s="19">
        <f t="shared" si="4"/>
        <v>0</v>
      </c>
    </row>
    <row r="10" spans="1:13" x14ac:dyDescent="0.25">
      <c r="A10" s="17" t="s">
        <v>10</v>
      </c>
      <c r="B10" s="92">
        <v>1524508</v>
      </c>
      <c r="C10" s="21">
        <v>44669</v>
      </c>
      <c r="D10" s="62">
        <v>4283</v>
      </c>
      <c r="E10" s="21">
        <v>240</v>
      </c>
      <c r="F10" s="6">
        <f t="shared" si="0"/>
        <v>355.94396451085686</v>
      </c>
      <c r="G10" s="6">
        <f t="shared" si="1"/>
        <v>186.12083333333334</v>
      </c>
      <c r="H10" s="6">
        <f t="shared" si="2"/>
        <v>346.93278797258455</v>
      </c>
      <c r="I10" s="21">
        <v>1282968</v>
      </c>
      <c r="J10" s="21"/>
      <c r="K10" s="6">
        <v>327.96</v>
      </c>
      <c r="L10" s="19">
        <f t="shared" si="3"/>
        <v>0.18826658186330447</v>
      </c>
      <c r="M10" s="19">
        <f t="shared" si="4"/>
        <v>5.7850920760411546E-2</v>
      </c>
    </row>
    <row r="11" spans="1:13" x14ac:dyDescent="0.25">
      <c r="A11" s="17" t="s">
        <v>7</v>
      </c>
      <c r="B11" s="70"/>
      <c r="C11" s="59"/>
      <c r="D11" s="107"/>
      <c r="E11" s="21"/>
      <c r="F11" s="6">
        <f t="shared" si="0"/>
        <v>0</v>
      </c>
      <c r="G11" s="6">
        <f t="shared" si="1"/>
        <v>0</v>
      </c>
      <c r="H11" s="6">
        <f t="shared" si="2"/>
        <v>0</v>
      </c>
      <c r="I11" s="21">
        <v>86712.66</v>
      </c>
      <c r="J11" s="21"/>
      <c r="K11" s="6">
        <v>289.14</v>
      </c>
      <c r="L11" s="19">
        <f t="shared" si="3"/>
        <v>-1</v>
      </c>
      <c r="M11" s="19">
        <f t="shared" si="4"/>
        <v>-1</v>
      </c>
    </row>
    <row r="12" spans="1:13" x14ac:dyDescent="0.25">
      <c r="A12" s="17" t="s">
        <v>11</v>
      </c>
      <c r="B12" s="69"/>
      <c r="C12" s="21"/>
      <c r="D12" s="21"/>
      <c r="E12" s="21"/>
      <c r="F12" s="6">
        <f>IF(D12=0,0,B12/D12)</f>
        <v>0</v>
      </c>
      <c r="G12" s="6">
        <f>IF(E12=0,0,C12/E12)</f>
        <v>0</v>
      </c>
      <c r="H12" s="6">
        <f>IF(D12+E12=0,0,(B12+C12)/(D12+E12))</f>
        <v>0</v>
      </c>
      <c r="I12" s="21"/>
      <c r="J12" s="21"/>
      <c r="K12" s="6"/>
      <c r="L12" s="19">
        <f t="shared" ref="L12:L18" si="5">IF(I12=0,0,(B12-I12)/I12)</f>
        <v>0</v>
      </c>
      <c r="M12" s="19">
        <f t="shared" ref="M12:M18" si="6">IF(K12=0,0,(H12-K12)/K12)</f>
        <v>0</v>
      </c>
    </row>
    <row r="13" spans="1:13" x14ac:dyDescent="0.25">
      <c r="A13" s="17" t="s">
        <v>13</v>
      </c>
      <c r="B13" s="94">
        <f>1722127.31+239160.83-81095+2205527.06</f>
        <v>4085720.2</v>
      </c>
      <c r="C13" s="94">
        <v>81095</v>
      </c>
      <c r="D13" s="94">
        <f>628.6+6915.7+5839.1</f>
        <v>13383.400000000001</v>
      </c>
      <c r="E13" s="152">
        <v>560.20000000000005</v>
      </c>
      <c r="F13" s="6">
        <f>IF(D13=0,0,B13/D13)</f>
        <v>305.28267854207451</v>
      </c>
      <c r="G13" s="6">
        <f t="shared" si="1"/>
        <v>144.7607997143877</v>
      </c>
      <c r="H13" s="6">
        <f t="shared" si="2"/>
        <v>298.83352936114056</v>
      </c>
      <c r="I13" s="21">
        <v>3966062</v>
      </c>
      <c r="J13" s="21">
        <v>95510</v>
      </c>
      <c r="K13" s="6">
        <v>314.10000000000002</v>
      </c>
      <c r="L13" s="19">
        <f t="shared" si="5"/>
        <v>3.0170531877716532E-2</v>
      </c>
      <c r="M13" s="19">
        <f t="shared" si="6"/>
        <v>-4.8603854310281622E-2</v>
      </c>
    </row>
    <row r="14" spans="1:13" x14ac:dyDescent="0.25">
      <c r="A14" s="17" t="s">
        <v>14</v>
      </c>
      <c r="B14" s="85">
        <v>481530</v>
      </c>
      <c r="C14" s="61"/>
      <c r="D14" s="80">
        <v>1391</v>
      </c>
      <c r="E14" s="21"/>
      <c r="F14" s="6">
        <f t="shared" si="0"/>
        <v>346.17541337167506</v>
      </c>
      <c r="G14" s="6">
        <f t="shared" si="1"/>
        <v>0</v>
      </c>
      <c r="H14" s="6">
        <f t="shared" si="2"/>
        <v>346.17541337167506</v>
      </c>
      <c r="I14" s="21">
        <v>1266123.93</v>
      </c>
      <c r="J14" s="21"/>
      <c r="K14" s="6">
        <v>335.04</v>
      </c>
      <c r="L14" s="19">
        <f t="shared" si="5"/>
        <v>-0.61968177949215442</v>
      </c>
      <c r="M14" s="19">
        <f t="shared" si="6"/>
        <v>3.3236071429307075E-2</v>
      </c>
    </row>
    <row r="15" spans="1:13" x14ac:dyDescent="0.25">
      <c r="A15" s="17" t="s">
        <v>16</v>
      </c>
      <c r="B15" s="109">
        <v>2642287</v>
      </c>
      <c r="C15" s="62">
        <v>497773</v>
      </c>
      <c r="D15" s="110">
        <v>8711</v>
      </c>
      <c r="E15" s="62">
        <v>3546</v>
      </c>
      <c r="F15" s="6">
        <f t="shared" si="0"/>
        <v>303.32763172999654</v>
      </c>
      <c r="G15" s="6">
        <f t="shared" si="1"/>
        <v>140.37591652566272</v>
      </c>
      <c r="H15" s="6">
        <f t="shared" si="2"/>
        <v>256.18503712164477</v>
      </c>
      <c r="I15" s="21">
        <v>3737182</v>
      </c>
      <c r="J15" s="21">
        <v>508376</v>
      </c>
      <c r="K15" s="6">
        <v>268.60000000000002</v>
      </c>
      <c r="L15" s="19">
        <f>IF(I15=0,0,(B15-I15)/I15)</f>
        <v>-0.29297342222027184</v>
      </c>
      <c r="M15" s="19">
        <f t="shared" si="6"/>
        <v>-4.622100848233527E-2</v>
      </c>
    </row>
    <row r="16" spans="1:13" x14ac:dyDescent="0.25">
      <c r="A16" s="17" t="s">
        <v>17</v>
      </c>
      <c r="B16" s="69"/>
      <c r="C16" s="21"/>
      <c r="D16" s="21"/>
      <c r="E16" s="21"/>
      <c r="F16" s="6">
        <f t="shared" ref="F16:G18" si="7">IF(D16=0,0,B16/D16)</f>
        <v>0</v>
      </c>
      <c r="G16" s="6">
        <f t="shared" si="7"/>
        <v>0</v>
      </c>
      <c r="H16" s="6">
        <f>IF(D16+E16=0,0,(B16+C16)/(D16+E16))</f>
        <v>0</v>
      </c>
      <c r="I16" s="21">
        <v>169042</v>
      </c>
      <c r="J16" s="21"/>
      <c r="K16" s="6">
        <v>248.66</v>
      </c>
      <c r="L16" s="19">
        <f t="shared" ref="L16:L17" si="8">IF(I16=0,0,(B16-I16)/I16)</f>
        <v>-1</v>
      </c>
      <c r="M16" s="19">
        <f t="shared" si="6"/>
        <v>-1</v>
      </c>
    </row>
    <row r="17" spans="1:13" x14ac:dyDescent="0.25">
      <c r="A17" s="17" t="s">
        <v>19</v>
      </c>
      <c r="B17" s="104">
        <v>3757451.32</v>
      </c>
      <c r="C17" s="129">
        <v>307162.93</v>
      </c>
      <c r="D17" s="104">
        <v>11414.5</v>
      </c>
      <c r="E17" s="99">
        <v>1889.7</v>
      </c>
      <c r="F17" s="6">
        <f t="shared" si="7"/>
        <v>329.18229620219893</v>
      </c>
      <c r="G17" s="6">
        <f t="shared" si="7"/>
        <v>162.54586971476954</v>
      </c>
      <c r="H17" s="6">
        <f>IF(D17+E17=0,0,(B17+C17)/(D17+E17))</f>
        <v>305.51361600096209</v>
      </c>
      <c r="I17" s="21">
        <v>3403810.68</v>
      </c>
      <c r="J17" s="21">
        <v>467725.22</v>
      </c>
      <c r="K17" s="6">
        <v>290.98</v>
      </c>
      <c r="L17" s="19">
        <f t="shared" si="8"/>
        <v>0.10389550807802261</v>
      </c>
      <c r="M17" s="19">
        <f t="shared" si="6"/>
        <v>4.9947130390274486E-2</v>
      </c>
    </row>
    <row r="18" spans="1:13" s="11" customFormat="1" x14ac:dyDescent="0.25">
      <c r="A18" s="18" t="s">
        <v>20</v>
      </c>
      <c r="B18" s="71">
        <f>SUM(B7:B17)</f>
        <v>12674648.52</v>
      </c>
      <c r="C18" s="8">
        <f>SUM(C7:C17)</f>
        <v>930699.92999999993</v>
      </c>
      <c r="D18" s="63">
        <f>SUM(D7:D17)</f>
        <v>39824.9</v>
      </c>
      <c r="E18" s="115">
        <f>SUM(E7:E17)</f>
        <v>6235.9</v>
      </c>
      <c r="F18" s="9">
        <f t="shared" si="7"/>
        <v>318.25939349502443</v>
      </c>
      <c r="G18" s="9">
        <f t="shared" si="7"/>
        <v>149.24869385333312</v>
      </c>
      <c r="H18" s="9">
        <f>IF(D18+E18=0,0,(B18+C18)/(D18+E18))</f>
        <v>295.37803186223425</v>
      </c>
      <c r="I18" s="55">
        <f>SUM(I7:I17)</f>
        <v>13922522.27</v>
      </c>
      <c r="J18" s="55">
        <f>SUM(J7:J17)</f>
        <v>1149017.22</v>
      </c>
      <c r="K18" s="31">
        <v>295.13</v>
      </c>
      <c r="L18" s="32">
        <f t="shared" si="5"/>
        <v>-8.9629862017810952E-2</v>
      </c>
      <c r="M18" s="32">
        <f t="shared" si="6"/>
        <v>8.4041562102889081E-4</v>
      </c>
    </row>
    <row r="21" spans="1:13" ht="20.25" x14ac:dyDescent="0.3">
      <c r="A21" s="20" t="str">
        <f>"MÅLESTATISTIKK FOR  TAKTEKKERE  - 2. HALVÅR "&amp;FORS!$A$14</f>
        <v>MÅLESTATISTIKK FOR  TAKTEKKERE  - 2. HALVÅR 2017</v>
      </c>
    </row>
    <row r="22" spans="1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5"/>
      <c r="B23" s="2" t="s">
        <v>4</v>
      </c>
      <c r="C23" s="3"/>
      <c r="D23" s="2" t="s">
        <v>5</v>
      </c>
      <c r="E23" s="3"/>
      <c r="F23" s="2" t="str">
        <f>"Fortjeneste 2. halvår  "&amp;FORS!$A$14-0</f>
        <v>Fortjeneste 2. halvår  2017</v>
      </c>
      <c r="G23" s="5"/>
      <c r="H23" s="3"/>
      <c r="I23" s="2" t="str">
        <f>" 2. halvår  "&amp;FORS!$A$14-1</f>
        <v xml:space="preserve"> 2. halvår  2016</v>
      </c>
      <c r="J23" s="5"/>
      <c r="K23" s="3"/>
      <c r="L23" s="46" t="s">
        <v>29</v>
      </c>
      <c r="M23" s="3"/>
    </row>
    <row r="24" spans="1:13" x14ac:dyDescent="0.25">
      <c r="A24" s="47"/>
      <c r="B24" s="48" t="s">
        <v>6</v>
      </c>
      <c r="C24" s="48" t="s">
        <v>6</v>
      </c>
      <c r="D24" s="48" t="s">
        <v>6</v>
      </c>
      <c r="E24" s="48" t="s">
        <v>6</v>
      </c>
      <c r="F24" s="48" t="s">
        <v>6</v>
      </c>
      <c r="G24" s="48" t="s">
        <v>6</v>
      </c>
      <c r="H24" s="49" t="s">
        <v>33</v>
      </c>
      <c r="I24" s="48" t="s">
        <v>6</v>
      </c>
      <c r="J24" s="48" t="s">
        <v>6</v>
      </c>
      <c r="K24" s="49" t="s">
        <v>31</v>
      </c>
      <c r="L24" s="48" t="s">
        <v>6</v>
      </c>
      <c r="M24" s="49" t="s">
        <v>31</v>
      </c>
    </row>
    <row r="25" spans="1:13" x14ac:dyDescent="0.25">
      <c r="A25" s="51"/>
      <c r="B25" s="52" t="s">
        <v>30</v>
      </c>
      <c r="C25" s="52" t="s">
        <v>32</v>
      </c>
      <c r="D25" s="52" t="s">
        <v>30</v>
      </c>
      <c r="E25" s="52" t="s">
        <v>32</v>
      </c>
      <c r="F25" s="52" t="s">
        <v>30</v>
      </c>
      <c r="G25" s="52" t="s">
        <v>32</v>
      </c>
      <c r="H25" s="53" t="s">
        <v>34</v>
      </c>
      <c r="I25" s="52" t="s">
        <v>30</v>
      </c>
      <c r="J25" s="52" t="s">
        <v>32</v>
      </c>
      <c r="K25" s="53" t="s">
        <v>28</v>
      </c>
      <c r="L25" s="52" t="s">
        <v>30</v>
      </c>
      <c r="M25" s="53" t="s">
        <v>28</v>
      </c>
    </row>
    <row r="26" spans="1:13" x14ac:dyDescent="0.25">
      <c r="A26" s="17" t="s">
        <v>25</v>
      </c>
      <c r="B26" s="100"/>
      <c r="C26" s="75"/>
      <c r="D26" s="76"/>
      <c r="E26" s="21"/>
      <c r="F26" s="6">
        <f>IF(D26=0,0,B26/D26)</f>
        <v>0</v>
      </c>
      <c r="G26" s="6">
        <f>IF(E26=0,0,C26/E26)</f>
        <v>0</v>
      </c>
      <c r="H26" s="6">
        <f>IF(D26+E26=0,0,(B26+C26)/(D26+E26))</f>
        <v>0</v>
      </c>
      <c r="I26" s="21">
        <v>163682</v>
      </c>
      <c r="J26" s="21"/>
      <c r="K26" s="6">
        <v>275.10000000000002</v>
      </c>
      <c r="L26" s="19">
        <f>IF(I26=0,0,(B26-I26)/I26)</f>
        <v>-1</v>
      </c>
      <c r="M26" s="19">
        <f>IF(K26=0,0,(H26-K26)/K26)</f>
        <v>-1</v>
      </c>
    </row>
    <row r="27" spans="1:13" x14ac:dyDescent="0.25">
      <c r="A27" s="17" t="s">
        <v>9</v>
      </c>
      <c r="B27" s="21"/>
      <c r="C27" s="21"/>
      <c r="D27" s="21"/>
      <c r="E27" s="21"/>
      <c r="F27" s="6">
        <f t="shared" ref="F27:F33" si="9">IF(D27=0,0,B27/D27)</f>
        <v>0</v>
      </c>
      <c r="G27" s="6">
        <f t="shared" ref="G27:G36" si="10">IF(E27=0,0,C27/E27)</f>
        <v>0</v>
      </c>
      <c r="H27" s="6">
        <f t="shared" ref="H27:H36" si="11">IF(D27+E27=0,0,(B27+C27)/(D27+E27))</f>
        <v>0</v>
      </c>
      <c r="I27" s="21"/>
      <c r="J27" s="21"/>
      <c r="K27" s="6">
        <v>0</v>
      </c>
      <c r="L27" s="19">
        <f t="shared" ref="L27:L37" si="12">IF(I27=0,0,(B27-I27)/I27)</f>
        <v>0</v>
      </c>
      <c r="M27" s="19">
        <f t="shared" ref="M27:M37" si="13">IF(K27=0,0,(H27-K27)/K27)</f>
        <v>0</v>
      </c>
    </row>
    <row r="28" spans="1:13" x14ac:dyDescent="0.25">
      <c r="A28" s="17" t="s">
        <v>8</v>
      </c>
      <c r="B28" s="21"/>
      <c r="C28" s="21"/>
      <c r="D28" s="21"/>
      <c r="E28" s="21"/>
      <c r="F28" s="6">
        <f t="shared" si="9"/>
        <v>0</v>
      </c>
      <c r="G28" s="6">
        <f t="shared" si="10"/>
        <v>0</v>
      </c>
      <c r="H28" s="6">
        <f t="shared" si="11"/>
        <v>0</v>
      </c>
      <c r="I28" s="21"/>
      <c r="J28" s="21"/>
      <c r="K28" s="6">
        <v>0</v>
      </c>
      <c r="L28" s="19">
        <f t="shared" si="12"/>
        <v>0</v>
      </c>
      <c r="M28" s="19">
        <f t="shared" si="13"/>
        <v>0</v>
      </c>
    </row>
    <row r="29" spans="1:13" x14ac:dyDescent="0.25">
      <c r="A29" s="17" t="s">
        <v>10</v>
      </c>
      <c r="B29" s="62">
        <v>1111820.52</v>
      </c>
      <c r="C29" s="21">
        <v>9457</v>
      </c>
      <c r="D29" s="62">
        <v>3225.58</v>
      </c>
      <c r="E29" s="21">
        <v>162.18</v>
      </c>
      <c r="F29" s="6">
        <f t="shared" si="9"/>
        <v>344.68855833679527</v>
      </c>
      <c r="G29" s="6">
        <f t="shared" si="10"/>
        <v>58.311752373905534</v>
      </c>
      <c r="H29" s="6">
        <f t="shared" si="11"/>
        <v>330.97903039176333</v>
      </c>
      <c r="I29" s="21">
        <v>1250367</v>
      </c>
      <c r="J29" s="21"/>
      <c r="K29" s="6">
        <v>328.96</v>
      </c>
      <c r="L29" s="19">
        <f>IF(I29=0,0,(B29-I29)/I29)</f>
        <v>-0.11080465175424493</v>
      </c>
      <c r="M29" s="19">
        <f t="shared" si="13"/>
        <v>6.1376167064790595E-3</v>
      </c>
    </row>
    <row r="30" spans="1:13" x14ac:dyDescent="0.25">
      <c r="A30" s="17" t="s">
        <v>7</v>
      </c>
      <c r="B30" s="62"/>
      <c r="C30" s="21"/>
      <c r="D30" s="21"/>
      <c r="E30" s="21"/>
      <c r="F30" s="6">
        <f>IF(D30=0,0,B30/D30)</f>
        <v>0</v>
      </c>
      <c r="G30" s="6">
        <f>IF(E30=0,0,C30/E30)</f>
        <v>0</v>
      </c>
      <c r="H30" s="6">
        <f>IF(D30+E30=0,0,(B30+C30)/(D30+E30))</f>
        <v>0</v>
      </c>
      <c r="I30" s="21"/>
      <c r="J30" s="21"/>
      <c r="K30" s="6"/>
      <c r="L30" s="19">
        <f t="shared" si="12"/>
        <v>0</v>
      </c>
      <c r="M30" s="19">
        <f t="shared" si="13"/>
        <v>0</v>
      </c>
    </row>
    <row r="31" spans="1:13" x14ac:dyDescent="0.25">
      <c r="A31" s="17" t="s">
        <v>11</v>
      </c>
      <c r="B31" s="21"/>
      <c r="C31" s="21"/>
      <c r="D31" s="21"/>
      <c r="E31" s="21"/>
      <c r="F31" s="6">
        <f>IF(D31=0,0,B31/D31)</f>
        <v>0</v>
      </c>
      <c r="G31" s="6">
        <f>IF(E31=0,0,C31/E31)</f>
        <v>0</v>
      </c>
      <c r="H31" s="6">
        <f>IF(D31+E31=0,0,(B31+C31)/(D31+E31))</f>
        <v>0</v>
      </c>
      <c r="I31" s="21"/>
      <c r="J31" s="21"/>
      <c r="K31" s="6">
        <v>0</v>
      </c>
      <c r="L31" s="19">
        <f t="shared" si="12"/>
        <v>0</v>
      </c>
      <c r="M31" s="19">
        <f t="shared" si="13"/>
        <v>0</v>
      </c>
    </row>
    <row r="32" spans="1:13" x14ac:dyDescent="0.25">
      <c r="A32" s="17" t="s">
        <v>13</v>
      </c>
      <c r="B32" s="94">
        <f>323460.8+2137472.81+1879536.41-C32</f>
        <v>4230896.84</v>
      </c>
      <c r="C32" s="94">
        <f>4177.73+11996.23+13050.91+65829.92+14518.39</f>
        <v>109573.18</v>
      </c>
      <c r="D32" s="94">
        <f>909.2+7939.1+5310.1-E32</f>
        <v>13620.2</v>
      </c>
      <c r="E32" s="152">
        <f>27.8+63.9+64.5+301+81</f>
        <v>538.20000000000005</v>
      </c>
      <c r="F32" s="6">
        <f t="shared" si="9"/>
        <v>310.63397306941158</v>
      </c>
      <c r="G32" s="6">
        <f t="shared" si="10"/>
        <v>203.5919360832404</v>
      </c>
      <c r="H32" s="6">
        <f t="shared" si="11"/>
        <v>306.5650087580517</v>
      </c>
      <c r="I32" s="21">
        <v>3372888</v>
      </c>
      <c r="J32" s="21">
        <v>130812</v>
      </c>
      <c r="K32" s="6">
        <v>301.45</v>
      </c>
      <c r="L32" s="19">
        <f>IF(I32=0,0,(B32-I32)/I32)</f>
        <v>0.25438402935407278</v>
      </c>
      <c r="M32" s="19">
        <f t="shared" si="13"/>
        <v>1.69680171108035E-2</v>
      </c>
    </row>
    <row r="33" spans="1:13" x14ac:dyDescent="0.25">
      <c r="A33" s="17" t="s">
        <v>14</v>
      </c>
      <c r="B33" s="62">
        <v>942761</v>
      </c>
      <c r="C33" s="21"/>
      <c r="D33" s="21">
        <v>2680</v>
      </c>
      <c r="E33" s="21"/>
      <c r="F33" s="6">
        <f t="shared" si="9"/>
        <v>351.77649253731346</v>
      </c>
      <c r="G33" s="6">
        <f t="shared" si="10"/>
        <v>0</v>
      </c>
      <c r="H33" s="6">
        <f t="shared" si="11"/>
        <v>351.77649253731346</v>
      </c>
      <c r="I33" s="21">
        <v>1528157.86</v>
      </c>
      <c r="J33" s="21"/>
      <c r="K33" s="6">
        <v>337.81</v>
      </c>
      <c r="L33" s="19">
        <f t="shared" si="12"/>
        <v>-0.38307355236192686</v>
      </c>
      <c r="M33" s="19">
        <f t="shared" si="13"/>
        <v>4.1344224674561017E-2</v>
      </c>
    </row>
    <row r="34" spans="1:13" x14ac:dyDescent="0.25">
      <c r="A34" s="17" t="s">
        <v>16</v>
      </c>
      <c r="B34" s="62">
        <v>2315836</v>
      </c>
      <c r="C34" s="62">
        <v>736755</v>
      </c>
      <c r="D34" s="21">
        <v>6895</v>
      </c>
      <c r="E34" s="21">
        <v>3656</v>
      </c>
      <c r="F34" s="6">
        <f>IF(D34=0,0,B34/D34)</f>
        <v>335.87179115300944</v>
      </c>
      <c r="G34" s="6">
        <f t="shared" si="10"/>
        <v>201.51942013129104</v>
      </c>
      <c r="H34" s="6">
        <f>IF(D34+E34=0,0,(B34+C34)/(D34+E34))</f>
        <v>289.31769500521278</v>
      </c>
      <c r="I34" s="21">
        <v>3900995</v>
      </c>
      <c r="J34" s="21">
        <v>742859</v>
      </c>
      <c r="K34" s="6">
        <v>273.97000000000003</v>
      </c>
      <c r="L34" s="19">
        <f>IF(I34=0,0,(B34-I34)/I34)</f>
        <v>-0.40634735496969365</v>
      </c>
      <c r="M34" s="19">
        <f t="shared" si="13"/>
        <v>5.6019618955406629E-2</v>
      </c>
    </row>
    <row r="35" spans="1:13" x14ac:dyDescent="0.25">
      <c r="A35" s="17" t="s">
        <v>17</v>
      </c>
      <c r="B35" s="21"/>
      <c r="C35" s="21"/>
      <c r="D35" s="21"/>
      <c r="E35" s="21"/>
      <c r="F35" s="6">
        <f>IF(D35=0,0,B35/D35)</f>
        <v>0</v>
      </c>
      <c r="G35" s="6">
        <f t="shared" si="10"/>
        <v>0</v>
      </c>
      <c r="H35" s="6">
        <f>IF(D35+E35=0,0,(B35+C35)/(D35+E35))</f>
        <v>0</v>
      </c>
      <c r="I35" s="21"/>
      <c r="J35" s="21"/>
      <c r="K35" s="6"/>
      <c r="L35" s="19">
        <f t="shared" si="12"/>
        <v>0</v>
      </c>
      <c r="M35" s="19">
        <f t="shared" si="13"/>
        <v>0</v>
      </c>
    </row>
    <row r="36" spans="1:13" x14ac:dyDescent="0.25">
      <c r="A36" s="17" t="s">
        <v>19</v>
      </c>
      <c r="B36" s="85">
        <v>4529188.72</v>
      </c>
      <c r="C36" s="85">
        <v>209988.95</v>
      </c>
      <c r="D36" s="77">
        <v>12904.3</v>
      </c>
      <c r="E36" s="108">
        <v>1226.2</v>
      </c>
      <c r="F36" s="6">
        <f>IF(D36=0,0,B36/D36)</f>
        <v>350.98290647303611</v>
      </c>
      <c r="G36" s="6">
        <f t="shared" si="10"/>
        <v>171.25179416082204</v>
      </c>
      <c r="H36" s="6">
        <f t="shared" si="11"/>
        <v>335.38641024733732</v>
      </c>
      <c r="I36" s="21">
        <v>2797589.4</v>
      </c>
      <c r="J36" s="21">
        <v>300961.09000000003</v>
      </c>
      <c r="K36" s="6">
        <v>310.44</v>
      </c>
      <c r="L36" s="19">
        <f t="shared" si="12"/>
        <v>0.61896120996169057</v>
      </c>
      <c r="M36" s="19">
        <f t="shared" si="13"/>
        <v>8.0358234271799139E-2</v>
      </c>
    </row>
    <row r="37" spans="1:13" x14ac:dyDescent="0.25">
      <c r="A37" s="18" t="s">
        <v>20</v>
      </c>
      <c r="B37" s="63">
        <f>SUM(B26:B36)</f>
        <v>13130503.079999998</v>
      </c>
      <c r="C37" s="8">
        <f>SUM(C26:C36)</f>
        <v>1065774.1299999999</v>
      </c>
      <c r="D37" s="8">
        <f>SUM(D26:D36)</f>
        <v>39325.08</v>
      </c>
      <c r="E37" s="23">
        <f>SUM(E26:E36)</f>
        <v>5582.58</v>
      </c>
      <c r="F37" s="9">
        <f>IF(D37=0,0,B37/D37)</f>
        <v>333.89641114525381</v>
      </c>
      <c r="G37" s="9">
        <f>IF(E37=0,0,C37/E37)</f>
        <v>190.9106775003672</v>
      </c>
      <c r="H37" s="9">
        <f>IF(D37+E37=0,0,(B37+C37)/(D37+E37))</f>
        <v>316.12150822376395</v>
      </c>
      <c r="I37" s="8">
        <f>SUM(I26:I36)</f>
        <v>13013679.26</v>
      </c>
      <c r="J37" s="8">
        <f>SUM(J26:J36)</f>
        <v>1174632.0900000001</v>
      </c>
      <c r="K37" s="31">
        <v>298.87</v>
      </c>
      <c r="L37" s="10">
        <f t="shared" si="12"/>
        <v>8.9770016354313031E-3</v>
      </c>
      <c r="M37" s="10">
        <f t="shared" si="13"/>
        <v>5.7722448635741122E-2</v>
      </c>
    </row>
    <row r="40" spans="1:13" ht="20.25" x14ac:dyDescent="0.3">
      <c r="A40" s="20" t="str">
        <f>"MÅLESTATISTIKK FOR  TAKTEKKERE  - GJENNOMSNITT HELE ÅRET  "&amp;FORS!$A$14</f>
        <v>MÅLESTATISTIKK FOR  TAKTEKKERE  - GJENNOMSNITT HELE ÅRET  2017</v>
      </c>
    </row>
    <row r="41" spans="1:1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5"/>
      <c r="B42" s="2" t="s">
        <v>4</v>
      </c>
      <c r="C42" s="3"/>
      <c r="D42" s="2" t="s">
        <v>5</v>
      </c>
      <c r="E42" s="3"/>
      <c r="F42" s="2" t="str">
        <f>"Fortjeneste hele  "&amp;FORS!$A$14-0</f>
        <v>Fortjeneste hele  2017</v>
      </c>
      <c r="G42" s="5"/>
      <c r="H42" s="3"/>
      <c r="I42" s="2" t="str">
        <f>" Hele året  "&amp;FORS!$A$14-1</f>
        <v xml:space="preserve"> Hele året  2016</v>
      </c>
      <c r="J42" s="5"/>
      <c r="K42" s="3"/>
      <c r="L42" s="46" t="s">
        <v>29</v>
      </c>
      <c r="M42" s="3"/>
    </row>
    <row r="43" spans="1:13" x14ac:dyDescent="0.25">
      <c r="A43" s="47"/>
      <c r="B43" s="48" t="s">
        <v>6</v>
      </c>
      <c r="C43" s="48" t="s">
        <v>6</v>
      </c>
      <c r="D43" s="48" t="s">
        <v>6</v>
      </c>
      <c r="E43" s="48" t="s">
        <v>6</v>
      </c>
      <c r="F43" s="48" t="s">
        <v>6</v>
      </c>
      <c r="G43" s="48" t="s">
        <v>6</v>
      </c>
      <c r="H43" s="49" t="s">
        <v>33</v>
      </c>
      <c r="I43" s="48" t="s">
        <v>6</v>
      </c>
      <c r="J43" s="48" t="s">
        <v>6</v>
      </c>
      <c r="K43" s="49" t="s">
        <v>31</v>
      </c>
      <c r="L43" s="48" t="s">
        <v>6</v>
      </c>
      <c r="M43" s="49" t="s">
        <v>31</v>
      </c>
    </row>
    <row r="44" spans="1:13" x14ac:dyDescent="0.25">
      <c r="A44" s="51"/>
      <c r="B44" s="52" t="s">
        <v>30</v>
      </c>
      <c r="C44" s="52" t="s">
        <v>32</v>
      </c>
      <c r="D44" s="52" t="s">
        <v>30</v>
      </c>
      <c r="E44" s="52" t="s">
        <v>32</v>
      </c>
      <c r="F44" s="52" t="s">
        <v>30</v>
      </c>
      <c r="G44" s="52" t="s">
        <v>32</v>
      </c>
      <c r="H44" s="53" t="s">
        <v>34</v>
      </c>
      <c r="I44" s="52" t="s">
        <v>30</v>
      </c>
      <c r="J44" s="52" t="s">
        <v>32</v>
      </c>
      <c r="K44" s="53" t="s">
        <v>28</v>
      </c>
      <c r="L44" s="52" t="s">
        <v>30</v>
      </c>
      <c r="M44" s="53" t="s">
        <v>28</v>
      </c>
    </row>
    <row r="45" spans="1:13" x14ac:dyDescent="0.25">
      <c r="A45" s="17" t="s">
        <v>25</v>
      </c>
      <c r="B45" s="64">
        <f>B7+B26</f>
        <v>183152</v>
      </c>
      <c r="C45" s="64">
        <f>C7+C26</f>
        <v>0</v>
      </c>
      <c r="D45" s="4">
        <f>D7+D26</f>
        <v>642</v>
      </c>
      <c r="E45" s="4">
        <f>E7+E26</f>
        <v>0</v>
      </c>
      <c r="F45" s="6">
        <f>IF(D45=0,0,B45/D45)</f>
        <v>285.28348909657319</v>
      </c>
      <c r="G45" s="6">
        <f>IF(E45=0,0,C45/E45)</f>
        <v>0</v>
      </c>
      <c r="H45" s="6">
        <f>IF(D45+E45=0,0,(B45+C45)/(D45+E45))</f>
        <v>285.28348909657319</v>
      </c>
      <c r="I45" s="54">
        <v>174303</v>
      </c>
      <c r="J45" s="54">
        <v>77406</v>
      </c>
      <c r="K45" s="6">
        <v>238.02</v>
      </c>
      <c r="L45" s="19">
        <f>IF(I45=0,0,(B45-I45)/I45)</f>
        <v>5.076791564115362E-2</v>
      </c>
      <c r="M45" s="19">
        <f>IF(K45=0,0,(H45-K45)/K45)</f>
        <v>0.19856940213668253</v>
      </c>
    </row>
    <row r="46" spans="1:13" x14ac:dyDescent="0.25">
      <c r="A46" s="17" t="s">
        <v>9</v>
      </c>
      <c r="B46" s="64">
        <f t="shared" ref="B46:C54" si="14">B8+B27</f>
        <v>0</v>
      </c>
      <c r="C46" s="64"/>
      <c r="D46" s="4">
        <f t="shared" ref="D46:E55" si="15">D8+D27</f>
        <v>0</v>
      </c>
      <c r="E46" s="4">
        <f t="shared" si="15"/>
        <v>0</v>
      </c>
      <c r="F46" s="6">
        <f t="shared" ref="F46:F52" si="16">IF(D46=0,0,B46/D46)</f>
        <v>0</v>
      </c>
      <c r="G46" s="6">
        <f t="shared" ref="G46:G55" si="17">IF(E46=0,0,C46/E46)</f>
        <v>0</v>
      </c>
      <c r="H46" s="6">
        <f t="shared" ref="H46:H55" si="18">IF(D46+E46=0,0,(B46+C46)/(D46+E46))</f>
        <v>0</v>
      </c>
      <c r="I46" s="54">
        <f t="shared" ref="I46:J56" si="19">I8+I27</f>
        <v>0</v>
      </c>
      <c r="J46" s="54">
        <f t="shared" si="19"/>
        <v>0</v>
      </c>
      <c r="K46" s="6">
        <v>0</v>
      </c>
      <c r="L46" s="19">
        <f t="shared" ref="L46:L54" si="20">IF(I46=0,0,(B46-I46)/I46)</f>
        <v>0</v>
      </c>
      <c r="M46" s="19">
        <f t="shared" ref="M46:M56" si="21">IF(K46=0,0,(H46-K46)/K46)</f>
        <v>0</v>
      </c>
    </row>
    <row r="47" spans="1:13" x14ac:dyDescent="0.25">
      <c r="A47" s="17" t="s">
        <v>8</v>
      </c>
      <c r="B47" s="64">
        <f t="shared" si="14"/>
        <v>0</v>
      </c>
      <c r="C47" s="64">
        <f t="shared" si="14"/>
        <v>0</v>
      </c>
      <c r="D47" s="4">
        <f t="shared" si="15"/>
        <v>0</v>
      </c>
      <c r="E47" s="4">
        <f t="shared" si="15"/>
        <v>0</v>
      </c>
      <c r="F47" s="6">
        <f t="shared" si="16"/>
        <v>0</v>
      </c>
      <c r="G47" s="6">
        <f t="shared" si="17"/>
        <v>0</v>
      </c>
      <c r="H47" s="6">
        <f t="shared" si="18"/>
        <v>0</v>
      </c>
      <c r="I47" s="54">
        <f t="shared" si="19"/>
        <v>0</v>
      </c>
      <c r="J47" s="54">
        <f t="shared" si="19"/>
        <v>0</v>
      </c>
      <c r="K47" s="6">
        <v>0</v>
      </c>
      <c r="L47" s="19">
        <f t="shared" si="20"/>
        <v>0</v>
      </c>
      <c r="M47" s="19">
        <f t="shared" si="21"/>
        <v>0</v>
      </c>
    </row>
    <row r="48" spans="1:13" x14ac:dyDescent="0.25">
      <c r="A48" s="17" t="s">
        <v>10</v>
      </c>
      <c r="B48" s="64">
        <f>B10+B29</f>
        <v>2636328.52</v>
      </c>
      <c r="C48" s="64">
        <f t="shared" si="14"/>
        <v>54126</v>
      </c>
      <c r="D48" s="4">
        <f t="shared" si="15"/>
        <v>7508.58</v>
      </c>
      <c r="E48" s="4">
        <f t="shared" si="15"/>
        <v>402.18</v>
      </c>
      <c r="F48" s="6">
        <f t="shared" si="16"/>
        <v>351.10880086514362</v>
      </c>
      <c r="G48" s="6">
        <f t="shared" si="17"/>
        <v>134.58153065791436</v>
      </c>
      <c r="H48" s="6">
        <f t="shared" si="18"/>
        <v>340.10063761256816</v>
      </c>
      <c r="I48" s="54">
        <v>2533335</v>
      </c>
      <c r="J48" s="54"/>
      <c r="K48" s="6">
        <v>328.45</v>
      </c>
      <c r="L48" s="19">
        <f t="shared" si="20"/>
        <v>4.0655310095190737E-2</v>
      </c>
      <c r="M48" s="19">
        <f t="shared" si="21"/>
        <v>3.5471571358100702E-2</v>
      </c>
    </row>
    <row r="49" spans="1:13" x14ac:dyDescent="0.25">
      <c r="A49" s="17" t="s">
        <v>7</v>
      </c>
      <c r="B49" s="64">
        <f t="shared" si="14"/>
        <v>0</v>
      </c>
      <c r="C49" s="64">
        <f t="shared" si="14"/>
        <v>0</v>
      </c>
      <c r="D49" s="4">
        <f t="shared" si="15"/>
        <v>0</v>
      </c>
      <c r="E49" s="4">
        <f t="shared" si="15"/>
        <v>0</v>
      </c>
      <c r="F49" s="6">
        <f t="shared" si="16"/>
        <v>0</v>
      </c>
      <c r="G49" s="6">
        <f t="shared" si="17"/>
        <v>0</v>
      </c>
      <c r="H49" s="6">
        <f t="shared" si="18"/>
        <v>0</v>
      </c>
      <c r="I49" s="54"/>
      <c r="J49" s="54">
        <f t="shared" si="19"/>
        <v>0</v>
      </c>
      <c r="K49" s="6"/>
      <c r="L49" s="19">
        <f t="shared" si="20"/>
        <v>0</v>
      </c>
      <c r="M49" s="19">
        <f t="shared" si="21"/>
        <v>0</v>
      </c>
    </row>
    <row r="50" spans="1:13" x14ac:dyDescent="0.25">
      <c r="A50" s="17" t="s">
        <v>11</v>
      </c>
      <c r="B50" s="64">
        <f t="shared" si="14"/>
        <v>0</v>
      </c>
      <c r="C50" s="64">
        <f t="shared" si="14"/>
        <v>0</v>
      </c>
      <c r="D50" s="4">
        <f t="shared" si="15"/>
        <v>0</v>
      </c>
      <c r="E50" s="4">
        <f t="shared" si="15"/>
        <v>0</v>
      </c>
      <c r="F50" s="6">
        <f>IF(D50=0,0,B50/D50)</f>
        <v>0</v>
      </c>
      <c r="G50" s="6">
        <f>IF(E50=0,0,C50/E50)</f>
        <v>0</v>
      </c>
      <c r="H50" s="6">
        <f>IF(D50+E50=0,0,(B50+C50)/(D50+E50))</f>
        <v>0</v>
      </c>
      <c r="I50" s="54">
        <f t="shared" si="19"/>
        <v>0</v>
      </c>
      <c r="J50" s="54">
        <f t="shared" si="19"/>
        <v>0</v>
      </c>
      <c r="K50" s="6"/>
      <c r="L50" s="19">
        <f t="shared" si="20"/>
        <v>0</v>
      </c>
      <c r="M50" s="19">
        <f t="shared" si="21"/>
        <v>0</v>
      </c>
    </row>
    <row r="51" spans="1:13" x14ac:dyDescent="0.25">
      <c r="A51" s="17" t="s">
        <v>13</v>
      </c>
      <c r="B51" s="64">
        <f t="shared" si="14"/>
        <v>8316617.04</v>
      </c>
      <c r="C51" s="64">
        <f t="shared" si="14"/>
        <v>190668.18</v>
      </c>
      <c r="D51" s="4">
        <f t="shared" si="15"/>
        <v>27003.600000000002</v>
      </c>
      <c r="E51" s="4">
        <f t="shared" si="15"/>
        <v>1098.4000000000001</v>
      </c>
      <c r="F51" s="6">
        <f t="shared" si="16"/>
        <v>307.98178909478736</v>
      </c>
      <c r="G51" s="6">
        <f t="shared" si="17"/>
        <v>173.58719956300069</v>
      </c>
      <c r="H51" s="6">
        <f t="shared" si="18"/>
        <v>302.72881716603797</v>
      </c>
      <c r="I51" s="54">
        <v>7338950</v>
      </c>
      <c r="J51" s="54">
        <v>226322</v>
      </c>
      <c r="K51" s="6">
        <v>308.11</v>
      </c>
      <c r="L51" s="19">
        <f t="shared" si="20"/>
        <v>0.13321620122769606</v>
      </c>
      <c r="M51" s="19">
        <f t="shared" si="21"/>
        <v>-1.7465135289221521E-2</v>
      </c>
    </row>
    <row r="52" spans="1:13" x14ac:dyDescent="0.25">
      <c r="A52" s="17" t="s">
        <v>14</v>
      </c>
      <c r="B52" s="64">
        <f t="shared" si="14"/>
        <v>1424291</v>
      </c>
      <c r="C52" s="64">
        <f t="shared" si="14"/>
        <v>0</v>
      </c>
      <c r="D52" s="4">
        <f t="shared" si="15"/>
        <v>4071</v>
      </c>
      <c r="E52" s="4">
        <f t="shared" si="15"/>
        <v>0</v>
      </c>
      <c r="F52" s="6">
        <f t="shared" si="16"/>
        <v>349.86268730041758</v>
      </c>
      <c r="G52" s="6">
        <f t="shared" si="17"/>
        <v>0</v>
      </c>
      <c r="H52" s="6">
        <f t="shared" si="18"/>
        <v>349.86268730041758</v>
      </c>
      <c r="I52" s="54">
        <v>2794281.79</v>
      </c>
      <c r="J52" s="54">
        <f t="shared" si="19"/>
        <v>0</v>
      </c>
      <c r="K52" s="6">
        <v>336.55</v>
      </c>
      <c r="L52" s="19">
        <f>IF(I52=0,0,(B52-I52)/I52)</f>
        <v>-0.49028369110904879</v>
      </c>
      <c r="M52" s="19">
        <f t="shared" si="21"/>
        <v>3.955634318947427E-2</v>
      </c>
    </row>
    <row r="53" spans="1:13" x14ac:dyDescent="0.25">
      <c r="A53" s="17" t="s">
        <v>16</v>
      </c>
      <c r="B53" s="64">
        <f t="shared" si="14"/>
        <v>4958123</v>
      </c>
      <c r="C53" s="64">
        <f t="shared" si="14"/>
        <v>1234528</v>
      </c>
      <c r="D53" s="4">
        <f t="shared" si="15"/>
        <v>15606</v>
      </c>
      <c r="E53" s="4">
        <f t="shared" si="15"/>
        <v>7202</v>
      </c>
      <c r="F53" s="6">
        <f>IF(D53=0,0,B53/D53)</f>
        <v>317.70620274253491</v>
      </c>
      <c r="G53" s="6">
        <f t="shared" si="17"/>
        <v>171.41460705359623</v>
      </c>
      <c r="H53" s="6">
        <f t="shared" si="18"/>
        <v>271.51223254998246</v>
      </c>
      <c r="I53" s="54">
        <v>7638177</v>
      </c>
      <c r="J53" s="54">
        <v>1251235</v>
      </c>
      <c r="K53" s="6">
        <v>271.38</v>
      </c>
      <c r="L53" s="19">
        <f t="shared" si="20"/>
        <v>-0.35087613183093297</v>
      </c>
      <c r="M53" s="19">
        <f t="shared" si="21"/>
        <v>4.8725974641632207E-4</v>
      </c>
    </row>
    <row r="54" spans="1:13" x14ac:dyDescent="0.25">
      <c r="A54" s="17" t="s">
        <v>17</v>
      </c>
      <c r="B54" s="64">
        <f t="shared" si="14"/>
        <v>0</v>
      </c>
      <c r="C54" s="64">
        <f t="shared" si="14"/>
        <v>0</v>
      </c>
      <c r="D54" s="4">
        <f t="shared" si="15"/>
        <v>0</v>
      </c>
      <c r="E54" s="4">
        <f t="shared" si="15"/>
        <v>0</v>
      </c>
      <c r="F54" s="6">
        <f t="shared" ref="F54:F55" si="22">IF(D54=0,0,B54/D54)</f>
        <v>0</v>
      </c>
      <c r="G54" s="6">
        <f t="shared" si="17"/>
        <v>0</v>
      </c>
      <c r="H54" s="6">
        <f t="shared" si="18"/>
        <v>0</v>
      </c>
      <c r="I54" s="54"/>
      <c r="J54" s="54">
        <f t="shared" si="19"/>
        <v>0</v>
      </c>
      <c r="K54" s="6"/>
      <c r="L54" s="19">
        <f t="shared" si="20"/>
        <v>0</v>
      </c>
      <c r="M54" s="19">
        <f t="shared" si="21"/>
        <v>0</v>
      </c>
    </row>
    <row r="55" spans="1:13" x14ac:dyDescent="0.25">
      <c r="A55" s="17" t="s">
        <v>19</v>
      </c>
      <c r="B55" s="105">
        <f>B17+B36</f>
        <v>8286640.0399999991</v>
      </c>
      <c r="C55" s="64">
        <f t="shared" ref="C55" si="23">C17+C36</f>
        <v>517151.88</v>
      </c>
      <c r="D55" s="4">
        <f t="shared" si="15"/>
        <v>24318.799999999999</v>
      </c>
      <c r="E55" s="4">
        <f t="shared" si="15"/>
        <v>3115.9</v>
      </c>
      <c r="F55" s="6">
        <f t="shared" si="22"/>
        <v>340.75036761682316</v>
      </c>
      <c r="G55" s="6">
        <f t="shared" si="17"/>
        <v>165.97191180718252</v>
      </c>
      <c r="H55" s="6">
        <f t="shared" si="18"/>
        <v>320.89987934987442</v>
      </c>
      <c r="I55" s="54">
        <v>6201400.0800000001</v>
      </c>
      <c r="J55" s="54">
        <v>768686.31</v>
      </c>
      <c r="K55" s="6">
        <v>299.32</v>
      </c>
      <c r="L55" s="19">
        <f>IF(I55=0,0,(B55-I55)/I55)</f>
        <v>0.33625309334984865</v>
      </c>
      <c r="M55" s="19">
        <f>IF(K55=0,0,(H55-K55)/K55)</f>
        <v>7.2096349558580894E-2</v>
      </c>
    </row>
    <row r="56" spans="1:13" x14ac:dyDescent="0.25">
      <c r="A56" s="18" t="s">
        <v>20</v>
      </c>
      <c r="B56" s="63">
        <f>SUM(B45:B55)</f>
        <v>25805151.600000001</v>
      </c>
      <c r="C56" s="8">
        <f>SUM(C45:C55)</f>
        <v>1996474.06</v>
      </c>
      <c r="D56" s="127">
        <f>SUM(D45:D55)</f>
        <v>79149.98</v>
      </c>
      <c r="E56" s="4">
        <f t="shared" ref="E56" si="24">E18+E37</f>
        <v>11818.48</v>
      </c>
      <c r="F56" s="9">
        <f>IF(D56=0,0,B56/D56)</f>
        <v>326.02852963449902</v>
      </c>
      <c r="G56" s="9">
        <f>IF(E56=0,0,C56/E56)</f>
        <v>168.92815827416047</v>
      </c>
      <c r="H56" s="9">
        <f>IF(D56+E56=0,0,(B56+C56)/(D56+E56))</f>
        <v>305.61829517615229</v>
      </c>
      <c r="I56" s="54">
        <f t="shared" si="19"/>
        <v>26936201.530000001</v>
      </c>
      <c r="J56" s="54">
        <f>J18+J37</f>
        <v>2323649.31</v>
      </c>
      <c r="K56" s="31">
        <v>296.95999999999998</v>
      </c>
      <c r="L56" s="10">
        <f>IF(I56=0,0,(B56-I56)/I56)</f>
        <v>-4.1989956480697581E-2</v>
      </c>
      <c r="M56" s="10">
        <f t="shared" si="21"/>
        <v>2.9156435803314614E-2</v>
      </c>
    </row>
    <row r="63" spans="1:13" x14ac:dyDescent="0.25">
      <c r="I63" s="116"/>
    </row>
  </sheetData>
  <phoneticPr fontId="0" type="noConversion"/>
  <pageMargins left="0.59055118110236227" right="0.19685039370078741" top="0.98425196850393704" bottom="3.8" header="0.51181102362204722" footer="0.51181102362204722"/>
  <pageSetup paperSize="9" scale="85" orientation="landscape" r:id="rId1"/>
  <headerFooter alignWithMargins="0">
    <oddFooter>&amp;L&amp;9FORH.AVD./&amp;D/&amp;T/&amp;F</oddFooter>
  </headerFooter>
  <rowBreaks count="2" manualBreakCount="2">
    <brk id="19" max="16383" man="1"/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60"/>
  <sheetViews>
    <sheetView showZeros="0" topLeftCell="A16" zoomScale="85" zoomScaleNormal="85" zoomScaleSheetLayoutView="100" zoomScalePageLayoutView="50" workbookViewId="0">
      <selection activeCell="O38" sqref="O38"/>
    </sheetView>
  </sheetViews>
  <sheetFormatPr baseColWidth="10" defaultColWidth="9" defaultRowHeight="15.75" x14ac:dyDescent="0.25"/>
  <cols>
    <col min="1" max="1" width="16.25" style="14" customWidth="1"/>
    <col min="2" max="2" width="15.125" customWidth="1"/>
    <col min="3" max="3" width="12.25" customWidth="1"/>
    <col min="4" max="4" width="11.125" customWidth="1"/>
    <col min="5" max="5" width="12" customWidth="1"/>
    <col min="6" max="6" width="11.375" customWidth="1"/>
    <col min="7" max="7" width="9.625" customWidth="1"/>
    <col min="8" max="8" width="11.375" customWidth="1"/>
    <col min="9" max="9" width="12.5" customWidth="1"/>
    <col min="10" max="10" width="10.375" customWidth="1"/>
    <col min="11" max="11" width="10.375" style="34" customWidth="1"/>
    <col min="12" max="12" width="9" customWidth="1"/>
    <col min="13" max="13" width="10" customWidth="1"/>
  </cols>
  <sheetData>
    <row r="2" spans="1:13" ht="20.25" x14ac:dyDescent="0.3">
      <c r="A2" s="20" t="str">
        <f>"MÅLESTATISTIKK FOR MURERE - 1. HALVÅR "&amp;FORS!$A$14</f>
        <v>MÅLESTATISTIKK FOR MURERE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6" t="s">
        <v>25</v>
      </c>
      <c r="B7" s="21"/>
      <c r="C7" s="21"/>
      <c r="D7" s="21"/>
      <c r="E7" s="21"/>
      <c r="F7" s="6">
        <f>IF(D7=0,0,B7/D7)</f>
        <v>0</v>
      </c>
      <c r="G7" s="6">
        <f>IF(E7=0,0,C7/E7)</f>
        <v>0</v>
      </c>
      <c r="H7" s="6">
        <f>IF(D7+E7=0,0,(B7+C7)/(D7+E7))</f>
        <v>0</v>
      </c>
      <c r="I7" s="21"/>
      <c r="J7" s="21"/>
      <c r="K7" s="35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7</v>
      </c>
      <c r="B8" s="80">
        <v>792063.31299999997</v>
      </c>
      <c r="C8" s="82"/>
      <c r="D8" s="80">
        <v>3009.95</v>
      </c>
      <c r="E8" s="21"/>
      <c r="F8" s="6">
        <f t="shared" ref="F8:F18" si="0">IF(D8=0,0,B8/D8)</f>
        <v>263.14832904201069</v>
      </c>
      <c r="G8" s="6">
        <f t="shared" ref="G8:G18" si="1">IF(E8=0,0,C8/E8)</f>
        <v>0</v>
      </c>
      <c r="H8" s="6">
        <f t="shared" ref="H8:H18" si="2">IF(D8+E8=0,0,(B8+C8)/(D8+E8))</f>
        <v>263.14832904201069</v>
      </c>
      <c r="I8" s="21">
        <v>79198.12</v>
      </c>
      <c r="J8" s="21"/>
      <c r="K8" s="35">
        <v>236.17</v>
      </c>
      <c r="L8" s="19">
        <f t="shared" ref="L8:L16" si="3">IF(I8=0,0,(B8-I8)/I8)</f>
        <v>9.0010368049140563</v>
      </c>
      <c r="M8" s="19">
        <f t="shared" ref="M8:M18" si="4">IF(K8=0,0,(H8-K8)/K8)</f>
        <v>0.11423266732443028</v>
      </c>
    </row>
    <row r="9" spans="1:13" x14ac:dyDescent="0.25">
      <c r="A9" s="17" t="s">
        <v>8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35">
        <v>0</v>
      </c>
      <c r="L9" s="19">
        <f t="shared" si="3"/>
        <v>0</v>
      </c>
      <c r="M9" s="19">
        <f t="shared" si="4"/>
        <v>0</v>
      </c>
    </row>
    <row r="10" spans="1:13" x14ac:dyDescent="0.25">
      <c r="A10" s="17" t="s">
        <v>10</v>
      </c>
      <c r="B10" s="62"/>
      <c r="C10" s="21"/>
      <c r="D10" s="62"/>
      <c r="E10" s="21"/>
      <c r="F10" s="6">
        <f t="shared" si="0"/>
        <v>0</v>
      </c>
      <c r="G10" s="6">
        <f t="shared" si="1"/>
        <v>0</v>
      </c>
      <c r="H10" s="6">
        <f>IF(D10+E10=0,0,(B10+C10)/(D10+E10))</f>
        <v>0</v>
      </c>
      <c r="I10" s="21">
        <v>96166.71</v>
      </c>
      <c r="J10" s="21"/>
      <c r="K10" s="35">
        <v>423.83</v>
      </c>
      <c r="L10" s="19">
        <f t="shared" si="3"/>
        <v>-1</v>
      </c>
      <c r="M10" s="19">
        <f t="shared" si="4"/>
        <v>-1</v>
      </c>
    </row>
    <row r="11" spans="1:13" x14ac:dyDescent="0.25">
      <c r="A11" s="17" t="s">
        <v>11</v>
      </c>
      <c r="B11" s="21"/>
      <c r="C11" s="21"/>
      <c r="D11" s="21"/>
      <c r="E11" s="21"/>
      <c r="F11" s="6">
        <f t="shared" si="0"/>
        <v>0</v>
      </c>
      <c r="G11" s="6">
        <f t="shared" si="1"/>
        <v>0</v>
      </c>
      <c r="H11" s="6">
        <f t="shared" si="2"/>
        <v>0</v>
      </c>
      <c r="I11" s="21"/>
      <c r="J11" s="21"/>
      <c r="K11" s="35">
        <v>0</v>
      </c>
      <c r="L11" s="19">
        <f t="shared" si="3"/>
        <v>0</v>
      </c>
      <c r="M11" s="19">
        <f t="shared" si="4"/>
        <v>0</v>
      </c>
    </row>
    <row r="12" spans="1:13" x14ac:dyDescent="0.25">
      <c r="A12" s="17" t="s">
        <v>13</v>
      </c>
      <c r="B12" s="95">
        <v>1437364.82</v>
      </c>
      <c r="C12" s="95"/>
      <c r="D12" s="95">
        <v>4445</v>
      </c>
      <c r="E12" s="153"/>
      <c r="F12" s="6">
        <f>IF(D12=0,0,B12/D12)</f>
        <v>323.36666366704162</v>
      </c>
      <c r="G12" s="6">
        <f t="shared" si="1"/>
        <v>0</v>
      </c>
      <c r="H12" s="6">
        <f t="shared" si="2"/>
        <v>323.36666366704162</v>
      </c>
      <c r="I12" s="21">
        <v>462776</v>
      </c>
      <c r="J12" s="21"/>
      <c r="K12" s="35">
        <v>310.07</v>
      </c>
      <c r="L12" s="19">
        <f t="shared" si="3"/>
        <v>2.1059623230245306</v>
      </c>
      <c r="M12" s="19">
        <f t="shared" si="4"/>
        <v>4.2882780233629916E-2</v>
      </c>
    </row>
    <row r="13" spans="1:13" x14ac:dyDescent="0.25">
      <c r="A13" s="17" t="s">
        <v>15</v>
      </c>
      <c r="B13" s="21"/>
      <c r="C13" s="21"/>
      <c r="D13" s="21"/>
      <c r="E13" s="21"/>
      <c r="F13" s="6">
        <f t="shared" si="0"/>
        <v>0</v>
      </c>
      <c r="G13" s="6"/>
      <c r="H13" s="6">
        <f t="shared" si="2"/>
        <v>0</v>
      </c>
      <c r="I13" s="21"/>
      <c r="J13" s="21"/>
      <c r="K13" s="35">
        <v>0</v>
      </c>
      <c r="L13" s="19">
        <f t="shared" si="3"/>
        <v>0</v>
      </c>
      <c r="M13" s="19">
        <f t="shared" si="4"/>
        <v>0</v>
      </c>
    </row>
    <row r="14" spans="1:13" x14ac:dyDescent="0.25">
      <c r="A14" s="17" t="s">
        <v>14</v>
      </c>
      <c r="B14" s="21"/>
      <c r="C14" s="21"/>
      <c r="D14" s="21"/>
      <c r="E14" s="21"/>
      <c r="F14" s="6">
        <f t="shared" si="0"/>
        <v>0</v>
      </c>
      <c r="G14" s="6">
        <f t="shared" si="1"/>
        <v>0</v>
      </c>
      <c r="H14" s="6">
        <f t="shared" si="2"/>
        <v>0</v>
      </c>
      <c r="I14" s="21"/>
      <c r="J14" s="21"/>
      <c r="K14" s="35">
        <v>0</v>
      </c>
      <c r="L14" s="19">
        <f t="shared" si="3"/>
        <v>0</v>
      </c>
      <c r="M14" s="19">
        <f t="shared" si="4"/>
        <v>0</v>
      </c>
    </row>
    <row r="15" spans="1:13" x14ac:dyDescent="0.25">
      <c r="A15" s="17" t="s">
        <v>16</v>
      </c>
      <c r="B15" s="64">
        <v>3652290</v>
      </c>
      <c r="C15" s="4">
        <v>433063</v>
      </c>
      <c r="D15" s="64">
        <v>13329</v>
      </c>
      <c r="E15" s="4">
        <v>2131</v>
      </c>
      <c r="F15" s="6">
        <f>IF(D15=0,0,B15/D15)</f>
        <v>274.01080351114115</v>
      </c>
      <c r="G15" s="6">
        <f>IF(E15=0,0,C15/E15)</f>
        <v>203.22055373064288</v>
      </c>
      <c r="H15" s="6">
        <f>IF(D15+E15=0,0,(B15+C15)/(D15+E15))</f>
        <v>264.25310478654592</v>
      </c>
      <c r="I15" s="21">
        <v>2921217</v>
      </c>
      <c r="J15" s="21">
        <v>659594</v>
      </c>
      <c r="K15" s="35">
        <v>272.72000000000003</v>
      </c>
      <c r="L15" s="19">
        <f>IF(I15=0,0,(B15-I15)/I15)</f>
        <v>0.25026316086754252</v>
      </c>
      <c r="M15" s="19">
        <f t="shared" si="4"/>
        <v>-3.104611034560761E-2</v>
      </c>
    </row>
    <row r="16" spans="1:13" x14ac:dyDescent="0.25">
      <c r="A16" s="17" t="s">
        <v>17</v>
      </c>
      <c r="B16" s="21"/>
      <c r="C16" s="21"/>
      <c r="D16" s="21"/>
      <c r="E16" s="21"/>
      <c r="F16" s="6">
        <f t="shared" si="0"/>
        <v>0</v>
      </c>
      <c r="G16" s="6">
        <f t="shared" si="1"/>
        <v>0</v>
      </c>
      <c r="H16" s="6">
        <f t="shared" si="2"/>
        <v>0</v>
      </c>
      <c r="I16" s="21"/>
      <c r="J16" s="21"/>
      <c r="K16" s="35">
        <v>0</v>
      </c>
      <c r="L16" s="19">
        <f t="shared" si="3"/>
        <v>0</v>
      </c>
      <c r="M16" s="19">
        <f t="shared" si="4"/>
        <v>0</v>
      </c>
    </row>
    <row r="17" spans="1:13" x14ac:dyDescent="0.25">
      <c r="A17" s="17" t="s">
        <v>19</v>
      </c>
      <c r="B17" s="73">
        <v>9791594</v>
      </c>
      <c r="C17" s="83">
        <v>1545523</v>
      </c>
      <c r="D17" s="117">
        <v>34930</v>
      </c>
      <c r="E17" s="86">
        <v>8395</v>
      </c>
      <c r="F17" s="6">
        <f t="shared" si="0"/>
        <v>280.32046951044947</v>
      </c>
      <c r="G17" s="6">
        <f t="shared" si="1"/>
        <v>184.10041691483025</v>
      </c>
      <c r="H17" s="6">
        <f t="shared" si="2"/>
        <v>261.67609924985572</v>
      </c>
      <c r="I17" s="21">
        <v>10951895</v>
      </c>
      <c r="J17" s="21">
        <v>2009263</v>
      </c>
      <c r="K17" s="35">
        <v>258.36</v>
      </c>
      <c r="L17" s="19">
        <f>IF(I17=0,0,(B17-I17)/I17)</f>
        <v>-0.10594522683060785</v>
      </c>
      <c r="M17" s="19">
        <f t="shared" si="4"/>
        <v>1.2835188302584418E-2</v>
      </c>
    </row>
    <row r="18" spans="1:13" x14ac:dyDescent="0.25">
      <c r="A18" s="17" t="s">
        <v>18</v>
      </c>
      <c r="B18" s="84">
        <v>1347036.5</v>
      </c>
      <c r="C18" s="77"/>
      <c r="D18" s="85">
        <v>4790.6000000000004</v>
      </c>
      <c r="E18" s="21"/>
      <c r="F18" s="6">
        <f t="shared" si="0"/>
        <v>281.18325470713478</v>
      </c>
      <c r="G18" s="6">
        <f t="shared" si="1"/>
        <v>0</v>
      </c>
      <c r="H18" s="6">
        <f t="shared" si="2"/>
        <v>281.18325470713478</v>
      </c>
      <c r="I18" s="21">
        <v>2523252.7000000002</v>
      </c>
      <c r="J18" s="21"/>
      <c r="K18" s="35">
        <v>336.05</v>
      </c>
      <c r="L18" s="19">
        <f>IF(I18=0,0,(B18-I18)/I18)</f>
        <v>-0.46615077435565616</v>
      </c>
      <c r="M18" s="19">
        <f t="shared" si="4"/>
        <v>-0.16326958873044259</v>
      </c>
    </row>
    <row r="19" spans="1:13" s="11" customFormat="1" x14ac:dyDescent="0.25">
      <c r="A19" s="18" t="s">
        <v>20</v>
      </c>
      <c r="B19" s="63">
        <f>SUM(B7:B18)</f>
        <v>17020348.633000001</v>
      </c>
      <c r="C19" s="8">
        <f>SUM(C7:C18)</f>
        <v>1978586</v>
      </c>
      <c r="D19" s="63">
        <f>SUM(D7:D18)</f>
        <v>60504.549999999996</v>
      </c>
      <c r="E19" s="8">
        <f>SUM(E7:E18)</f>
        <v>10526</v>
      </c>
      <c r="F19" s="9">
        <f>IF(D19=0,0,B19/D19)</f>
        <v>281.306920438215</v>
      </c>
      <c r="G19" s="9">
        <f>IF(E19=0,0,C19/E19)</f>
        <v>187.97130913927418</v>
      </c>
      <c r="H19" s="9">
        <f>IF(D19+E19=0,0,(B19+C19)/(D19+E19))</f>
        <v>267.47553880689372</v>
      </c>
      <c r="I19" s="55">
        <f>SUM(I8:I18)</f>
        <v>17034505.530000001</v>
      </c>
      <c r="J19" s="55">
        <f>SUM(J8:J18)</f>
        <v>2668857</v>
      </c>
      <c r="K19" s="36">
        <v>270.43</v>
      </c>
      <c r="L19" s="32">
        <f>IF(I19=0,0,(B19-I19)/I19)</f>
        <v>-8.3107178984841829E-4</v>
      </c>
      <c r="M19" s="32">
        <f t="shared" ref="M19" si="5">IF(K19=0,0,(H19-K19)/K19)</f>
        <v>-1.092504971011457E-2</v>
      </c>
    </row>
    <row r="21" spans="1:13" ht="11.25" customHeight="1" x14ac:dyDescent="0.25"/>
    <row r="22" spans="1:13" ht="20.25" x14ac:dyDescent="0.3">
      <c r="A22" s="20" t="str">
        <f>"MÅLESTATISTIKK FOR MURERE - 2. HALVÅR "&amp;FORS!$A$14</f>
        <v>MÅLESTATISTIKK FOR MURERE - 2. HALVÅR 2017</v>
      </c>
    </row>
    <row r="23" spans="1:13" x14ac:dyDescent="0.25">
      <c r="B23" s="13"/>
      <c r="C23" s="13"/>
      <c r="D23" s="13"/>
      <c r="E23" s="13"/>
      <c r="F23" s="13"/>
      <c r="G23" s="13"/>
      <c r="H23" s="13"/>
      <c r="I23" s="13"/>
      <c r="J23" s="13"/>
      <c r="L23" s="13"/>
      <c r="M23" s="13"/>
    </row>
    <row r="24" spans="1:13" x14ac:dyDescent="0.25">
      <c r="A24" s="15"/>
      <c r="B24" s="2" t="s">
        <v>4</v>
      </c>
      <c r="C24" s="3"/>
      <c r="D24" s="2" t="s">
        <v>5</v>
      </c>
      <c r="E24" s="3"/>
      <c r="F24" s="2" t="str">
        <f>"Fortjeneste 2. halvår  "&amp;FORS!$A$14-0</f>
        <v>Fortjeneste 2. halvår  2017</v>
      </c>
      <c r="G24" s="5"/>
      <c r="H24" s="3"/>
      <c r="I24" s="2" t="str">
        <f>" 2. halvår  "&amp;FORS!$A$14-1</f>
        <v xml:space="preserve"> 2. halvår  2016</v>
      </c>
      <c r="J24" s="5"/>
      <c r="K24" s="3"/>
      <c r="L24" s="46" t="s">
        <v>29</v>
      </c>
      <c r="M24" s="3"/>
    </row>
    <row r="25" spans="1:13" x14ac:dyDescent="0.25">
      <c r="A25" s="47"/>
      <c r="B25" s="48" t="s">
        <v>6</v>
      </c>
      <c r="C25" s="48" t="s">
        <v>6</v>
      </c>
      <c r="D25" s="48" t="s">
        <v>6</v>
      </c>
      <c r="E25" s="48" t="s">
        <v>6</v>
      </c>
      <c r="F25" s="48" t="s">
        <v>6</v>
      </c>
      <c r="G25" s="48" t="s">
        <v>6</v>
      </c>
      <c r="H25" s="49" t="s">
        <v>33</v>
      </c>
      <c r="I25" s="48" t="s">
        <v>6</v>
      </c>
      <c r="J25" s="48" t="s">
        <v>6</v>
      </c>
      <c r="K25" s="49" t="s">
        <v>31</v>
      </c>
      <c r="L25" s="48" t="s">
        <v>6</v>
      </c>
      <c r="M25" s="49" t="s">
        <v>31</v>
      </c>
    </row>
    <row r="26" spans="1:13" x14ac:dyDescent="0.25">
      <c r="A26" s="51"/>
      <c r="B26" s="52" t="s">
        <v>30</v>
      </c>
      <c r="C26" s="52" t="s">
        <v>32</v>
      </c>
      <c r="D26" s="52" t="s">
        <v>30</v>
      </c>
      <c r="E26" s="52" t="s">
        <v>32</v>
      </c>
      <c r="F26" s="52" t="s">
        <v>30</v>
      </c>
      <c r="G26" s="52" t="s">
        <v>32</v>
      </c>
      <c r="H26" s="53" t="s">
        <v>34</v>
      </c>
      <c r="I26" s="52" t="s">
        <v>30</v>
      </c>
      <c r="J26" s="52" t="s">
        <v>32</v>
      </c>
      <c r="K26" s="53" t="s">
        <v>28</v>
      </c>
      <c r="L26" s="52" t="s">
        <v>30</v>
      </c>
      <c r="M26" s="53" t="s">
        <v>28</v>
      </c>
    </row>
    <row r="27" spans="1:13" ht="16.5" customHeight="1" x14ac:dyDescent="0.25">
      <c r="A27" s="16" t="s">
        <v>25</v>
      </c>
      <c r="B27" s="21"/>
      <c r="C27" s="21"/>
      <c r="D27" s="21"/>
      <c r="E27" s="21"/>
      <c r="F27" s="6">
        <f t="shared" ref="F27:F38" si="6">IF(D27=0,0,B27/D27)</f>
        <v>0</v>
      </c>
      <c r="G27" s="6">
        <f>IF(E27=0,0,C27/E27)</f>
        <v>0</v>
      </c>
      <c r="H27" s="6">
        <f>IF(D27+E27=0,0,(B27+C27)/(D27+E27))</f>
        <v>0</v>
      </c>
      <c r="I27" s="21"/>
      <c r="J27" s="21"/>
      <c r="K27" s="35">
        <v>0</v>
      </c>
      <c r="L27" s="19">
        <f>IF(I27=0,0,(B27-I27)/I27)</f>
        <v>0</v>
      </c>
      <c r="M27" s="19">
        <f>IF(K27=0,0,(H27-K27)/K27)</f>
        <v>0</v>
      </c>
    </row>
    <row r="28" spans="1:13" ht="16.5" customHeight="1" x14ac:dyDescent="0.25">
      <c r="A28" s="17" t="s">
        <v>7</v>
      </c>
      <c r="B28" s="80">
        <v>181085.32800000001</v>
      </c>
      <c r="C28" s="82"/>
      <c r="D28" s="106">
        <v>639</v>
      </c>
      <c r="E28" s="21"/>
      <c r="F28" s="6">
        <f t="shared" si="6"/>
        <v>283.38861971830988</v>
      </c>
      <c r="G28" s="6">
        <f t="shared" ref="G28:G38" si="7">IF(E28=0,0,C28/E28)</f>
        <v>0</v>
      </c>
      <c r="H28" s="6">
        <f t="shared" ref="H28:H38" si="8">IF(D28+E28=0,0,(B28+C28)/(D28+E28))</f>
        <v>283.38861971830988</v>
      </c>
      <c r="I28" s="21"/>
      <c r="J28" s="21"/>
      <c r="K28" s="35">
        <v>0</v>
      </c>
      <c r="L28" s="19">
        <f t="shared" ref="L28:L39" si="9">IF(I28=0,0,(B28-I28)/I28)</f>
        <v>0</v>
      </c>
      <c r="M28" s="19">
        <f t="shared" ref="M28:M39" si="10">IF(K28=0,0,(H28-K28)/K28)</f>
        <v>0</v>
      </c>
    </row>
    <row r="29" spans="1:13" ht="16.5" customHeight="1" x14ac:dyDescent="0.25">
      <c r="A29" s="17" t="s">
        <v>8</v>
      </c>
      <c r="B29" s="21"/>
      <c r="C29" s="26"/>
      <c r="D29" s="21"/>
      <c r="E29" s="21"/>
      <c r="F29" s="6">
        <f t="shared" si="6"/>
        <v>0</v>
      </c>
      <c r="G29" s="6">
        <f t="shared" si="7"/>
        <v>0</v>
      </c>
      <c r="H29" s="6">
        <f t="shared" si="8"/>
        <v>0</v>
      </c>
      <c r="I29" s="21"/>
      <c r="J29" s="26"/>
      <c r="K29" s="35">
        <v>0</v>
      </c>
      <c r="L29" s="19">
        <f t="shared" si="9"/>
        <v>0</v>
      </c>
      <c r="M29" s="19">
        <f t="shared" si="10"/>
        <v>0</v>
      </c>
    </row>
    <row r="30" spans="1:13" ht="16.5" customHeight="1" x14ac:dyDescent="0.25">
      <c r="A30" s="17" t="s">
        <v>10</v>
      </c>
      <c r="B30" s="21"/>
      <c r="C30" s="21"/>
      <c r="D30" s="21"/>
      <c r="E30" s="21"/>
      <c r="F30" s="6">
        <f t="shared" si="6"/>
        <v>0</v>
      </c>
      <c r="G30" s="6">
        <f t="shared" si="7"/>
        <v>0</v>
      </c>
      <c r="H30" s="6">
        <f t="shared" si="8"/>
        <v>0</v>
      </c>
      <c r="I30" s="21"/>
      <c r="J30" s="21"/>
      <c r="K30" s="35"/>
      <c r="L30" s="19">
        <f t="shared" si="9"/>
        <v>0</v>
      </c>
      <c r="M30" s="19">
        <f t="shared" si="10"/>
        <v>0</v>
      </c>
    </row>
    <row r="31" spans="1:13" ht="16.5" customHeight="1" x14ac:dyDescent="0.25">
      <c r="A31" s="17" t="s">
        <v>11</v>
      </c>
      <c r="B31" s="21"/>
      <c r="C31" s="21"/>
      <c r="D31" s="21"/>
      <c r="E31" s="21"/>
      <c r="F31" s="6">
        <f t="shared" si="6"/>
        <v>0</v>
      </c>
      <c r="G31" s="6">
        <f t="shared" si="7"/>
        <v>0</v>
      </c>
      <c r="H31" s="6">
        <f t="shared" si="8"/>
        <v>0</v>
      </c>
      <c r="I31" s="21"/>
      <c r="J31" s="21"/>
      <c r="K31" s="35">
        <v>0</v>
      </c>
      <c r="L31" s="19">
        <f t="shared" si="9"/>
        <v>0</v>
      </c>
      <c r="M31" s="19">
        <f t="shared" si="10"/>
        <v>0</v>
      </c>
    </row>
    <row r="32" spans="1:13" ht="16.5" customHeight="1" x14ac:dyDescent="0.25">
      <c r="A32" s="17" t="s">
        <v>13</v>
      </c>
      <c r="B32" s="95">
        <v>1102907.8600000001</v>
      </c>
      <c r="C32" s="95"/>
      <c r="D32" s="95">
        <v>3405</v>
      </c>
      <c r="E32" s="21"/>
      <c r="F32" s="6">
        <f t="shared" si="6"/>
        <v>323.90832892804701</v>
      </c>
      <c r="G32" s="6">
        <f t="shared" si="7"/>
        <v>0</v>
      </c>
      <c r="H32" s="6">
        <f t="shared" si="8"/>
        <v>323.90832892804701</v>
      </c>
      <c r="I32" s="21">
        <v>566693</v>
      </c>
      <c r="J32" s="21"/>
      <c r="K32" s="35">
        <v>329.86</v>
      </c>
      <c r="L32" s="19">
        <f>IF(I32=0,0,(B32-I32)/I32)</f>
        <v>0.94621754636108102</v>
      </c>
      <c r="M32" s="19">
        <f t="shared" si="10"/>
        <v>-1.8043021499887835E-2</v>
      </c>
    </row>
    <row r="33" spans="1:13" ht="16.5" customHeight="1" x14ac:dyDescent="0.25">
      <c r="A33" s="17" t="s">
        <v>15</v>
      </c>
      <c r="B33" s="21"/>
      <c r="C33" s="21"/>
      <c r="D33" s="21"/>
      <c r="E33" s="21"/>
      <c r="F33" s="6">
        <f t="shared" si="6"/>
        <v>0</v>
      </c>
      <c r="G33" s="6"/>
      <c r="H33" s="6"/>
      <c r="I33" s="21"/>
      <c r="J33" s="21"/>
      <c r="K33" s="35"/>
      <c r="L33" s="19">
        <f t="shared" si="9"/>
        <v>0</v>
      </c>
      <c r="M33" s="19">
        <f t="shared" si="10"/>
        <v>0</v>
      </c>
    </row>
    <row r="34" spans="1:13" ht="16.5" customHeight="1" x14ac:dyDescent="0.25">
      <c r="A34" s="17" t="s">
        <v>14</v>
      </c>
      <c r="B34" s="21"/>
      <c r="C34" s="21"/>
      <c r="D34" s="21"/>
      <c r="E34" s="21"/>
      <c r="F34" s="6">
        <f t="shared" si="6"/>
        <v>0</v>
      </c>
      <c r="G34" s="6">
        <f t="shared" si="7"/>
        <v>0</v>
      </c>
      <c r="H34" s="6">
        <f t="shared" si="8"/>
        <v>0</v>
      </c>
      <c r="I34" s="21"/>
      <c r="J34" s="21"/>
      <c r="K34" s="35">
        <v>0</v>
      </c>
      <c r="L34" s="19">
        <f t="shared" si="9"/>
        <v>0</v>
      </c>
      <c r="M34" s="19">
        <f t="shared" si="10"/>
        <v>0</v>
      </c>
    </row>
    <row r="35" spans="1:13" ht="16.5" customHeight="1" x14ac:dyDescent="0.25">
      <c r="A35" s="17" t="s">
        <v>16</v>
      </c>
      <c r="B35" s="62">
        <v>5649468</v>
      </c>
      <c r="C35" s="21"/>
      <c r="D35" s="21">
        <v>20213</v>
      </c>
      <c r="E35" s="21"/>
      <c r="F35" s="6">
        <f t="shared" si="6"/>
        <v>279.49675951120565</v>
      </c>
      <c r="G35" s="6">
        <f>IF(E35=0,0,C35/E35)</f>
        <v>0</v>
      </c>
      <c r="H35" s="6">
        <f>IF(D35+E35=0,0,(B35+C35)/(D35+E35))</f>
        <v>279.49675951120565</v>
      </c>
      <c r="I35" s="21">
        <v>6157046</v>
      </c>
      <c r="J35" s="21">
        <v>560080</v>
      </c>
      <c r="K35" s="35">
        <v>253.75</v>
      </c>
      <c r="L35" s="19">
        <f>IF(I35=0,0,(B35-I35)/I35)</f>
        <v>-8.2438559010278634E-2</v>
      </c>
      <c r="M35" s="19">
        <f t="shared" si="10"/>
        <v>0.10146506211312573</v>
      </c>
    </row>
    <row r="36" spans="1:13" ht="16.5" customHeight="1" x14ac:dyDescent="0.25">
      <c r="A36" s="17" t="s">
        <v>17</v>
      </c>
      <c r="B36" s="21"/>
      <c r="C36" s="21"/>
      <c r="D36" s="21"/>
      <c r="E36" s="21"/>
      <c r="F36" s="6">
        <f t="shared" si="6"/>
        <v>0</v>
      </c>
      <c r="G36" s="6">
        <f t="shared" si="7"/>
        <v>0</v>
      </c>
      <c r="H36" s="6">
        <f t="shared" si="8"/>
        <v>0</v>
      </c>
      <c r="I36" s="21"/>
      <c r="J36" s="21"/>
      <c r="K36" s="35">
        <v>0</v>
      </c>
      <c r="L36" s="19">
        <f t="shared" si="9"/>
        <v>0</v>
      </c>
      <c r="M36" s="19">
        <f t="shared" si="10"/>
        <v>0</v>
      </c>
    </row>
    <row r="37" spans="1:13" ht="16.5" customHeight="1" x14ac:dyDescent="0.25">
      <c r="A37" s="17" t="s">
        <v>19</v>
      </c>
      <c r="B37" s="158">
        <v>10918419</v>
      </c>
      <c r="C37" s="83"/>
      <c r="D37" s="143">
        <v>38832</v>
      </c>
      <c r="E37" s="21"/>
      <c r="F37" s="6">
        <f t="shared" si="6"/>
        <v>281.17065822002473</v>
      </c>
      <c r="G37" s="6">
        <f t="shared" si="7"/>
        <v>0</v>
      </c>
      <c r="H37" s="6">
        <f t="shared" si="8"/>
        <v>281.17065822002473</v>
      </c>
      <c r="I37" s="21">
        <v>11959469</v>
      </c>
      <c r="J37" s="21"/>
      <c r="K37" s="35">
        <v>288.87</v>
      </c>
      <c r="L37" s="19">
        <f>IF(I37=0,0,(B37-I37)/I37)</f>
        <v>-8.7048179145746349E-2</v>
      </c>
      <c r="M37" s="19">
        <f t="shared" si="10"/>
        <v>-2.6653310416364699E-2</v>
      </c>
    </row>
    <row r="38" spans="1:13" ht="16.5" customHeight="1" x14ac:dyDescent="0.25">
      <c r="A38" s="17" t="s">
        <v>18</v>
      </c>
      <c r="B38" s="100">
        <v>714960</v>
      </c>
      <c r="C38" s="77">
        <v>0</v>
      </c>
      <c r="D38" s="76">
        <v>2611.5</v>
      </c>
      <c r="E38" s="21"/>
      <c r="F38" s="6">
        <f t="shared" si="6"/>
        <v>273.77369327972428</v>
      </c>
      <c r="G38" s="6">
        <f t="shared" si="7"/>
        <v>0</v>
      </c>
      <c r="H38" s="6">
        <f t="shared" si="8"/>
        <v>273.77369327972428</v>
      </c>
      <c r="I38" s="21">
        <v>705727.5</v>
      </c>
      <c r="J38" s="21"/>
      <c r="K38" s="35">
        <v>327.10000000000002</v>
      </c>
      <c r="L38" s="19">
        <f>IF(I38=0,0,(B38-I38)/I38)</f>
        <v>1.3082244917478772E-2</v>
      </c>
      <c r="M38" s="19">
        <f t="shared" si="10"/>
        <v>-0.16302753506657211</v>
      </c>
    </row>
    <row r="39" spans="1:13" x14ac:dyDescent="0.25">
      <c r="A39" s="18" t="s">
        <v>20</v>
      </c>
      <c r="B39" s="8">
        <f>SUM(B28:B38)</f>
        <v>18566840.188000001</v>
      </c>
      <c r="C39" s="8"/>
      <c r="D39" s="8">
        <f>SUM(D28:D38)</f>
        <v>65700.5</v>
      </c>
      <c r="E39" s="8"/>
      <c r="F39" s="9">
        <f>IF(D39=0,0,B39/D39)</f>
        <v>282.59815660459208</v>
      </c>
      <c r="G39" s="9">
        <f>IF(E39=0,0,C39/E39)</f>
        <v>0</v>
      </c>
      <c r="H39" s="9">
        <f>IF(D39+E39=0,0,(B39+C39)/(D39+E39))</f>
        <v>282.59815660459208</v>
      </c>
      <c r="I39" s="55">
        <f>SUM(I27:I38)</f>
        <v>19388935.5</v>
      </c>
      <c r="J39" s="21">
        <f>SUM(J35:J38)</f>
        <v>560080</v>
      </c>
      <c r="K39" s="36">
        <v>278.04000000000002</v>
      </c>
      <c r="L39" s="10">
        <f t="shared" si="9"/>
        <v>-4.2400229347299596E-2</v>
      </c>
      <c r="M39" s="10">
        <f t="shared" si="10"/>
        <v>1.6393887946310085E-2</v>
      </c>
    </row>
    <row r="40" spans="1:13" ht="13.5" customHeight="1" x14ac:dyDescent="0.25"/>
    <row r="41" spans="1:13" ht="21" customHeight="1" x14ac:dyDescent="0.25"/>
    <row r="42" spans="1:13" ht="20.25" x14ac:dyDescent="0.3">
      <c r="A42" s="20" t="str">
        <f>"MÅLESTATISTIKK FOR MURERE - GJENNOMSNITT HELE ÅRET  "&amp;FORS!$A$14</f>
        <v>MÅLESTATISTIKK FOR MURERE - GJENNOMSNITT HELE ÅRET  2017</v>
      </c>
    </row>
    <row r="43" spans="1:13" x14ac:dyDescent="0.25">
      <c r="B43" s="13"/>
      <c r="C43" s="13"/>
      <c r="D43" s="13"/>
      <c r="E43" s="13"/>
      <c r="F43" s="13"/>
      <c r="G43" s="13"/>
      <c r="H43" s="13"/>
      <c r="I43" s="13"/>
      <c r="J43" s="13"/>
      <c r="L43" s="13"/>
      <c r="M43" s="13"/>
    </row>
    <row r="44" spans="1:13" x14ac:dyDescent="0.25">
      <c r="A44" s="15"/>
      <c r="B44" s="2" t="s">
        <v>4</v>
      </c>
      <c r="C44" s="3"/>
      <c r="D44" s="2" t="s">
        <v>5</v>
      </c>
      <c r="E44" s="3"/>
      <c r="F44" s="2" t="str">
        <f>"Fortjeneste hele  "&amp;FORS!$A$14-0</f>
        <v>Fortjeneste hele  2017</v>
      </c>
      <c r="G44" s="5"/>
      <c r="H44" s="3"/>
      <c r="I44" s="2" t="str">
        <f>" Hele året  "&amp;FORS!$A$14-1</f>
        <v xml:space="preserve"> Hele året  2016</v>
      </c>
      <c r="J44" s="5"/>
      <c r="K44" s="3"/>
      <c r="L44" s="46" t="s">
        <v>29</v>
      </c>
      <c r="M44" s="3"/>
    </row>
    <row r="45" spans="1:13" x14ac:dyDescent="0.25">
      <c r="A45" s="47"/>
      <c r="B45" s="48" t="s">
        <v>6</v>
      </c>
      <c r="C45" s="48" t="s">
        <v>6</v>
      </c>
      <c r="D45" s="48" t="s">
        <v>6</v>
      </c>
      <c r="E45" s="48" t="s">
        <v>6</v>
      </c>
      <c r="F45" s="48" t="s">
        <v>6</v>
      </c>
      <c r="G45" s="48" t="s">
        <v>6</v>
      </c>
      <c r="H45" s="49" t="s">
        <v>33</v>
      </c>
      <c r="I45" s="48" t="s">
        <v>6</v>
      </c>
      <c r="J45" s="48" t="s">
        <v>6</v>
      </c>
      <c r="K45" s="49" t="s">
        <v>31</v>
      </c>
      <c r="L45" s="48" t="s">
        <v>6</v>
      </c>
      <c r="M45" s="49" t="s">
        <v>31</v>
      </c>
    </row>
    <row r="46" spans="1:13" x14ac:dyDescent="0.25">
      <c r="A46" s="51"/>
      <c r="B46" s="52" t="s">
        <v>30</v>
      </c>
      <c r="C46" s="52" t="s">
        <v>32</v>
      </c>
      <c r="D46" s="52" t="s">
        <v>30</v>
      </c>
      <c r="E46" s="52" t="s">
        <v>32</v>
      </c>
      <c r="F46" s="52" t="s">
        <v>30</v>
      </c>
      <c r="G46" s="52" t="s">
        <v>32</v>
      </c>
      <c r="H46" s="53" t="s">
        <v>34</v>
      </c>
      <c r="I46" s="52" t="s">
        <v>30</v>
      </c>
      <c r="J46" s="52" t="s">
        <v>32</v>
      </c>
      <c r="K46" s="53" t="s">
        <v>28</v>
      </c>
      <c r="L46" s="52" t="s">
        <v>30</v>
      </c>
      <c r="M46" s="53" t="s">
        <v>28</v>
      </c>
    </row>
    <row r="47" spans="1:13" x14ac:dyDescent="0.25">
      <c r="A47" s="16" t="s">
        <v>25</v>
      </c>
      <c r="B47" s="4">
        <f>B7+B27</f>
        <v>0</v>
      </c>
      <c r="C47" s="4">
        <f t="shared" ref="C47:E47" si="11">C7+C27</f>
        <v>0</v>
      </c>
      <c r="D47" s="4">
        <f t="shared" si="11"/>
        <v>0</v>
      </c>
      <c r="E47" s="4">
        <f t="shared" si="11"/>
        <v>0</v>
      </c>
      <c r="F47" s="6">
        <f>IF(D47=0,0,B47/D47)</f>
        <v>0</v>
      </c>
      <c r="G47" s="6">
        <f>IF(E47=0,0,C47/E47)</f>
        <v>0</v>
      </c>
      <c r="H47" s="6">
        <f>IF(D47+E47=0,0,(B47+C47)/(D47+E47))</f>
        <v>0</v>
      </c>
      <c r="I47" s="54">
        <v>0</v>
      </c>
      <c r="J47" s="54">
        <v>0</v>
      </c>
      <c r="K47" s="35">
        <v>0</v>
      </c>
      <c r="L47" s="19">
        <f>IF(I47=0,0,(B47-I47)/I47)</f>
        <v>0</v>
      </c>
      <c r="M47" s="19">
        <f>IF(K47=0,0,(H47-K47)/K47)</f>
        <v>0</v>
      </c>
    </row>
    <row r="48" spans="1:13" x14ac:dyDescent="0.25">
      <c r="A48" s="17" t="s">
        <v>7</v>
      </c>
      <c r="B48" s="4">
        <f t="shared" ref="B48:E58" si="12">B8+B28</f>
        <v>973148.64099999995</v>
      </c>
      <c r="C48" s="4">
        <f t="shared" si="12"/>
        <v>0</v>
      </c>
      <c r="D48" s="4">
        <f t="shared" si="12"/>
        <v>3648.95</v>
      </c>
      <c r="E48" s="4">
        <f t="shared" si="12"/>
        <v>0</v>
      </c>
      <c r="F48" s="6">
        <f t="shared" ref="F48:F58" si="13">IF(D48=0,0,B48/D48)</f>
        <v>266.69278586990777</v>
      </c>
      <c r="G48" s="6">
        <f t="shared" ref="G48:G58" si="14">IF(E48=0,0,C48/E48)</f>
        <v>0</v>
      </c>
      <c r="H48" s="6">
        <f t="shared" ref="H48:H58" si="15">IF(D48+E48=0,0,(B48+C48)/(D48+E48))</f>
        <v>266.69278586990777</v>
      </c>
      <c r="I48" s="54">
        <v>930717</v>
      </c>
      <c r="J48" s="54">
        <v>0</v>
      </c>
      <c r="K48" s="35">
        <v>260.02999999999997</v>
      </c>
      <c r="L48" s="19">
        <f t="shared" ref="L48:L59" si="16">IF(I48=0,0,(B48-I48)/I48)</f>
        <v>4.5590271801202668E-2</v>
      </c>
      <c r="M48" s="19">
        <f t="shared" ref="M48:M59" si="17">IF(K48=0,0,(H48-K48)/K48)</f>
        <v>2.5623142983147305E-2</v>
      </c>
    </row>
    <row r="49" spans="1:13" x14ac:dyDescent="0.25">
      <c r="A49" s="17" t="s">
        <v>8</v>
      </c>
      <c r="B49" s="4">
        <f t="shared" si="12"/>
        <v>0</v>
      </c>
      <c r="C49" s="4">
        <f t="shared" si="12"/>
        <v>0</v>
      </c>
      <c r="D49" s="4">
        <f t="shared" si="12"/>
        <v>0</v>
      </c>
      <c r="E49" s="4">
        <f t="shared" si="12"/>
        <v>0</v>
      </c>
      <c r="F49" s="6">
        <f t="shared" si="13"/>
        <v>0</v>
      </c>
      <c r="G49" s="6">
        <f t="shared" si="14"/>
        <v>0</v>
      </c>
      <c r="H49" s="6">
        <f t="shared" si="15"/>
        <v>0</v>
      </c>
      <c r="I49" s="54">
        <v>0</v>
      </c>
      <c r="J49" s="54">
        <v>0</v>
      </c>
      <c r="K49" s="35">
        <v>0</v>
      </c>
      <c r="L49" s="19">
        <f t="shared" si="16"/>
        <v>0</v>
      </c>
      <c r="M49" s="19">
        <f t="shared" si="17"/>
        <v>0</v>
      </c>
    </row>
    <row r="50" spans="1:13" x14ac:dyDescent="0.25">
      <c r="A50" s="17" t="s">
        <v>10</v>
      </c>
      <c r="B50" s="4">
        <f t="shared" si="12"/>
        <v>0</v>
      </c>
      <c r="C50" s="4">
        <f t="shared" si="12"/>
        <v>0</v>
      </c>
      <c r="D50" s="4">
        <f t="shared" si="12"/>
        <v>0</v>
      </c>
      <c r="E50" s="4">
        <f t="shared" si="12"/>
        <v>0</v>
      </c>
      <c r="F50" s="6">
        <f t="shared" si="13"/>
        <v>0</v>
      </c>
      <c r="G50" s="6">
        <f t="shared" si="14"/>
        <v>0</v>
      </c>
      <c r="H50" s="6">
        <f t="shared" si="15"/>
        <v>0</v>
      </c>
      <c r="I50" s="54">
        <v>204635</v>
      </c>
      <c r="J50" s="54">
        <v>0</v>
      </c>
      <c r="K50" s="35">
        <v>377.69</v>
      </c>
      <c r="L50" s="19">
        <f t="shared" si="16"/>
        <v>-1</v>
      </c>
      <c r="M50" s="19">
        <f t="shared" si="17"/>
        <v>-1</v>
      </c>
    </row>
    <row r="51" spans="1:13" x14ac:dyDescent="0.25">
      <c r="A51" s="17" t="s">
        <v>11</v>
      </c>
      <c r="B51" s="4">
        <f t="shared" si="12"/>
        <v>0</v>
      </c>
      <c r="C51" s="4">
        <f t="shared" si="12"/>
        <v>0</v>
      </c>
      <c r="D51" s="4">
        <f t="shared" si="12"/>
        <v>0</v>
      </c>
      <c r="E51" s="4">
        <f t="shared" si="12"/>
        <v>0</v>
      </c>
      <c r="F51" s="6">
        <f t="shared" si="13"/>
        <v>0</v>
      </c>
      <c r="G51" s="6">
        <f t="shared" si="14"/>
        <v>0</v>
      </c>
      <c r="H51" s="6">
        <f t="shared" si="15"/>
        <v>0</v>
      </c>
      <c r="I51" s="54">
        <v>0</v>
      </c>
      <c r="J51" s="54">
        <v>0</v>
      </c>
      <c r="K51" s="35">
        <v>0</v>
      </c>
      <c r="L51" s="19">
        <f t="shared" si="16"/>
        <v>0</v>
      </c>
      <c r="M51" s="19">
        <f t="shared" si="17"/>
        <v>0</v>
      </c>
    </row>
    <row r="52" spans="1:13" x14ac:dyDescent="0.25">
      <c r="A52" s="17" t="s">
        <v>13</v>
      </c>
      <c r="B52" s="4">
        <f t="shared" si="12"/>
        <v>2540272.6800000002</v>
      </c>
      <c r="C52" s="4">
        <f t="shared" si="12"/>
        <v>0</v>
      </c>
      <c r="D52" s="4">
        <f t="shared" si="12"/>
        <v>7850</v>
      </c>
      <c r="E52" s="4">
        <f t="shared" si="12"/>
        <v>0</v>
      </c>
      <c r="F52" s="6">
        <f t="shared" si="13"/>
        <v>323.60161528662422</v>
      </c>
      <c r="G52" s="6">
        <f t="shared" si="14"/>
        <v>0</v>
      </c>
      <c r="H52" s="6">
        <f t="shared" si="15"/>
        <v>323.60161528662422</v>
      </c>
      <c r="I52" s="54">
        <v>1547101</v>
      </c>
      <c r="J52" s="54">
        <v>0</v>
      </c>
      <c r="K52" s="35">
        <v>313.08</v>
      </c>
      <c r="L52" s="19">
        <f>IF(I52=0,0,(B52-I52)/I52)</f>
        <v>0.6419565884838806</v>
      </c>
      <c r="M52" s="19">
        <f t="shared" si="17"/>
        <v>3.3606794706222819E-2</v>
      </c>
    </row>
    <row r="53" spans="1:13" x14ac:dyDescent="0.25">
      <c r="A53" s="17" t="s">
        <v>15</v>
      </c>
      <c r="B53" s="4">
        <f t="shared" si="12"/>
        <v>0</v>
      </c>
      <c r="C53" s="4">
        <f t="shared" si="12"/>
        <v>0</v>
      </c>
      <c r="D53" s="4">
        <f t="shared" si="12"/>
        <v>0</v>
      </c>
      <c r="E53" s="4">
        <f t="shared" si="12"/>
        <v>0</v>
      </c>
      <c r="F53" s="6">
        <f t="shared" si="13"/>
        <v>0</v>
      </c>
      <c r="G53" s="6">
        <f t="shared" si="14"/>
        <v>0</v>
      </c>
      <c r="H53" s="6">
        <f t="shared" si="15"/>
        <v>0</v>
      </c>
      <c r="I53" s="54">
        <v>0</v>
      </c>
      <c r="J53" s="54">
        <v>0</v>
      </c>
      <c r="K53" s="35">
        <v>0</v>
      </c>
      <c r="L53" s="19">
        <f t="shared" si="16"/>
        <v>0</v>
      </c>
      <c r="M53" s="19">
        <f t="shared" si="17"/>
        <v>0</v>
      </c>
    </row>
    <row r="54" spans="1:13" x14ac:dyDescent="0.25">
      <c r="A54" s="17" t="s">
        <v>14</v>
      </c>
      <c r="B54" s="4">
        <f t="shared" si="12"/>
        <v>0</v>
      </c>
      <c r="C54" s="4">
        <f t="shared" si="12"/>
        <v>0</v>
      </c>
      <c r="D54" s="4">
        <f t="shared" si="12"/>
        <v>0</v>
      </c>
      <c r="E54" s="4">
        <f t="shared" si="12"/>
        <v>0</v>
      </c>
      <c r="F54" s="6">
        <f t="shared" si="13"/>
        <v>0</v>
      </c>
      <c r="G54" s="6">
        <f t="shared" si="14"/>
        <v>0</v>
      </c>
      <c r="H54" s="6">
        <f t="shared" si="15"/>
        <v>0</v>
      </c>
      <c r="I54" s="54">
        <v>0</v>
      </c>
      <c r="J54" s="54">
        <v>0</v>
      </c>
      <c r="K54" s="35">
        <v>0</v>
      </c>
      <c r="L54" s="19">
        <f t="shared" si="16"/>
        <v>0</v>
      </c>
      <c r="M54" s="19">
        <f t="shared" si="17"/>
        <v>0</v>
      </c>
    </row>
    <row r="55" spans="1:13" x14ac:dyDescent="0.25">
      <c r="A55" s="17" t="s">
        <v>16</v>
      </c>
      <c r="B55" s="4">
        <f>B15+B35</f>
        <v>9301758</v>
      </c>
      <c r="C55" s="4">
        <f t="shared" si="12"/>
        <v>433063</v>
      </c>
      <c r="D55" s="4">
        <f t="shared" si="12"/>
        <v>33542</v>
      </c>
      <c r="E55" s="4">
        <f t="shared" si="12"/>
        <v>2131</v>
      </c>
      <c r="F55" s="6">
        <f t="shared" si="13"/>
        <v>277.31673722497169</v>
      </c>
      <c r="G55" s="6">
        <f>IF(E55=0,0,C55/E55)</f>
        <v>203.22055373064288</v>
      </c>
      <c r="H55" s="6">
        <f>IF(D55+E55=0,0,(B55+C55)/(D55+E55))</f>
        <v>272.89044935945952</v>
      </c>
      <c r="I55" s="54">
        <f>I15+I35</f>
        <v>9078263</v>
      </c>
      <c r="J55" s="154">
        <v>196.75</v>
      </c>
      <c r="K55" s="35">
        <v>261.24</v>
      </c>
      <c r="L55" s="19">
        <f>IF(I55=0,0,(B55-I55)/I55)</f>
        <v>2.4618696329903638E-2</v>
      </c>
      <c r="M55" s="19">
        <f t="shared" si="17"/>
        <v>4.4596728523424875E-2</v>
      </c>
    </row>
    <row r="56" spans="1:13" x14ac:dyDescent="0.25">
      <c r="A56" s="17" t="s">
        <v>17</v>
      </c>
      <c r="B56" s="4">
        <f t="shared" si="12"/>
        <v>0</v>
      </c>
      <c r="C56" s="4">
        <f t="shared" si="12"/>
        <v>0</v>
      </c>
      <c r="D56" s="4">
        <f t="shared" si="12"/>
        <v>0</v>
      </c>
      <c r="E56" s="4">
        <f t="shared" si="12"/>
        <v>0</v>
      </c>
      <c r="F56" s="6">
        <f t="shared" si="13"/>
        <v>0</v>
      </c>
      <c r="G56" s="6">
        <f t="shared" si="14"/>
        <v>0</v>
      </c>
      <c r="H56" s="6">
        <f t="shared" si="15"/>
        <v>0</v>
      </c>
      <c r="I56" s="54">
        <v>0</v>
      </c>
      <c r="J56" s="54"/>
      <c r="K56" s="35">
        <v>0</v>
      </c>
      <c r="L56" s="19">
        <f t="shared" si="16"/>
        <v>0</v>
      </c>
      <c r="M56" s="19">
        <f t="shared" si="17"/>
        <v>0</v>
      </c>
    </row>
    <row r="57" spans="1:13" x14ac:dyDescent="0.25">
      <c r="A57" s="17" t="s">
        <v>19</v>
      </c>
      <c r="B57" s="4">
        <f>B17+B37</f>
        <v>20710013</v>
      </c>
      <c r="C57" s="4">
        <f>C17+C37</f>
        <v>1545523</v>
      </c>
      <c r="D57" s="4">
        <f>D17+D37</f>
        <v>73762</v>
      </c>
      <c r="E57" s="4">
        <f>E17+E37</f>
        <v>8395</v>
      </c>
      <c r="F57" s="6">
        <f t="shared" si="13"/>
        <v>280.76805130012741</v>
      </c>
      <c r="G57" s="6">
        <f t="shared" si="14"/>
        <v>184.10041691483025</v>
      </c>
      <c r="H57" s="6">
        <f t="shared" si="15"/>
        <v>270.89031975364242</v>
      </c>
      <c r="I57" s="54">
        <v>17924687</v>
      </c>
      <c r="J57" s="156">
        <v>202.36</v>
      </c>
      <c r="K57" s="35">
        <v>282.22000000000003</v>
      </c>
      <c r="L57" s="19">
        <f t="shared" si="16"/>
        <v>0.15539049580056824</v>
      </c>
      <c r="M57" s="19">
        <f t="shared" si="17"/>
        <v>-4.0144852407191588E-2</v>
      </c>
    </row>
    <row r="58" spans="1:13" x14ac:dyDescent="0.25">
      <c r="A58" s="17" t="s">
        <v>18</v>
      </c>
      <c r="B58" s="4">
        <f>B18+B38</f>
        <v>2061996.5</v>
      </c>
      <c r="C58" s="4">
        <f t="shared" si="12"/>
        <v>0</v>
      </c>
      <c r="D58" s="4">
        <f>D18+D38</f>
        <v>7402.1</v>
      </c>
      <c r="E58" s="4">
        <f t="shared" si="12"/>
        <v>0</v>
      </c>
      <c r="F58" s="6">
        <f t="shared" si="13"/>
        <v>278.56912227611082</v>
      </c>
      <c r="G58" s="6">
        <f t="shared" si="14"/>
        <v>0</v>
      </c>
      <c r="H58" s="6">
        <f t="shared" si="15"/>
        <v>278.56912227611082</v>
      </c>
      <c r="I58" s="54">
        <v>5622722</v>
      </c>
      <c r="J58" s="54">
        <v>0</v>
      </c>
      <c r="K58" s="35">
        <v>290.60000000000002</v>
      </c>
      <c r="L58" s="19">
        <f t="shared" si="16"/>
        <v>-0.63327432869702616</v>
      </c>
      <c r="M58" s="19">
        <f>IF(K58=0,0,(H58-K58)/K58)</f>
        <v>-4.1400129813796295E-2</v>
      </c>
    </row>
    <row r="59" spans="1:13" x14ac:dyDescent="0.25">
      <c r="A59" s="18" t="s">
        <v>20</v>
      </c>
      <c r="B59" s="8">
        <f>SUM(B47:B58)</f>
        <v>35587188.821000002</v>
      </c>
      <c r="C59" s="8">
        <f>SUM(C47:C58)</f>
        <v>1978586</v>
      </c>
      <c r="D59" s="8">
        <f>SUM(D47:D58)</f>
        <v>126205.05</v>
      </c>
      <c r="E59" s="8">
        <f>SUM(E47:E58)</f>
        <v>10526</v>
      </c>
      <c r="F59" s="9">
        <f>IF(D59=0,0,B59/D59)</f>
        <v>281.97911906853176</v>
      </c>
      <c r="G59" s="9">
        <f>IF(E59=0,0,C59/E59)</f>
        <v>187.97130913927418</v>
      </c>
      <c r="H59" s="9">
        <f>IF(D59+E59=0,0,(B59+C59)/(D59+E59))</f>
        <v>274.74209275069563</v>
      </c>
      <c r="I59" s="55">
        <f>SUM(I48:I58)</f>
        <v>35308125</v>
      </c>
      <c r="J59" s="155">
        <f>IF(E59=0,0,C59/E59)</f>
        <v>187.97130913927418</v>
      </c>
      <c r="K59" s="36">
        <v>274.20999999999998</v>
      </c>
      <c r="L59" s="32">
        <f t="shared" si="16"/>
        <v>7.9036714920433272E-3</v>
      </c>
      <c r="M59" s="32">
        <f t="shared" si="17"/>
        <v>1.9404571339325834E-3</v>
      </c>
    </row>
    <row r="60" spans="1:13" x14ac:dyDescent="0.25">
      <c r="I60" s="55"/>
    </row>
  </sheetData>
  <phoneticPr fontId="0" type="noConversion"/>
  <pageMargins left="0.59055118110236227" right="0.75" top="0.98425196850393704" bottom="4.1338582677165361" header="0.51181102362204722" footer="0.51181102362204722"/>
  <pageSetup paperSize="9" scale="74" fitToHeight="3" orientation="landscape" horizontalDpi="4294967292" verticalDpi="300" r:id="rId1"/>
  <headerFooter alignWithMargins="0">
    <oddFooter>&amp;L&amp;9FORH.AVD./&amp;D/&amp;T/&amp;F</oddFooter>
  </headerFooter>
  <rowBreaks count="2" manualBreakCount="2">
    <brk id="21" max="16383" man="1"/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2"/>
  <sheetViews>
    <sheetView showZeros="0" zoomScale="84" zoomScaleNormal="84" workbookViewId="0">
      <selection activeCell="L29" sqref="L29:M32"/>
    </sheetView>
  </sheetViews>
  <sheetFormatPr baseColWidth="10" defaultColWidth="9" defaultRowHeight="15.75" x14ac:dyDescent="0.25"/>
  <cols>
    <col min="1" max="1" width="18.75" style="14" customWidth="1"/>
    <col min="2" max="5" width="11.75" customWidth="1"/>
    <col min="6" max="8" width="9.25" customWidth="1"/>
    <col min="9" max="9" width="10.375" customWidth="1"/>
    <col min="10" max="13" width="9.25" customWidth="1"/>
  </cols>
  <sheetData>
    <row r="2" spans="1:13" ht="20.25" x14ac:dyDescent="0.3">
      <c r="A2" s="20" t="str">
        <f>"MÅLESTATISTIKK FOR BLIKK- OG VENTILASJONSARBEID - 1. HALVÅR "&amp;FORS!$A$14</f>
        <v>MÅLESTATISTIKK FOR BLIKK- OG VENTILASJONSARBEID - 1. HALVÅR 2017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2017</v>
      </c>
      <c r="G4" s="5"/>
      <c r="H4" s="3"/>
      <c r="I4" s="2" t="str">
        <f>" 1. halvår  "&amp;FORS!$A$14-1</f>
        <v xml:space="preserve"> 1. halvår  2016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11</v>
      </c>
      <c r="B7" s="21"/>
      <c r="C7" s="21"/>
      <c r="D7" s="21"/>
      <c r="E7" s="21"/>
      <c r="F7" s="6">
        <f t="shared" ref="F7:G10" si="0">IF(D7=0,0,B7/D7)</f>
        <v>0</v>
      </c>
      <c r="G7" s="6">
        <f t="shared" si="0"/>
        <v>0</v>
      </c>
      <c r="H7" s="6">
        <f>IF(D7+E7=0,0,(B7+C7)/(D7+E7))</f>
        <v>0</v>
      </c>
      <c r="I7" s="21"/>
      <c r="J7" s="21"/>
      <c r="K7" s="6"/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13</v>
      </c>
      <c r="B8" s="21"/>
      <c r="C8" s="21"/>
      <c r="D8" s="21"/>
      <c r="E8" s="21"/>
      <c r="F8" s="6"/>
      <c r="G8" s="6">
        <f t="shared" si="0"/>
        <v>0</v>
      </c>
      <c r="H8" s="6">
        <f>IF(D8+E8=0,0,(B8+C8)/(D8+E8))</f>
        <v>0</v>
      </c>
      <c r="I8" s="21"/>
      <c r="J8" s="21"/>
      <c r="K8" s="6"/>
      <c r="L8" s="19">
        <f t="shared" ref="L8:L13" si="1">IF(I8=0,0,(B8-I8)/I8)</f>
        <v>0</v>
      </c>
      <c r="M8" s="19">
        <f t="shared" ref="M8:M13" si="2">IF(K8=0,0,(H8-K8)/K8)</f>
        <v>0</v>
      </c>
    </row>
    <row r="9" spans="1:13" x14ac:dyDescent="0.25">
      <c r="A9" s="17" t="s">
        <v>19</v>
      </c>
      <c r="B9" s="21"/>
      <c r="C9" s="21"/>
      <c r="D9" s="21"/>
      <c r="E9" s="21"/>
      <c r="F9" s="6"/>
      <c r="G9" s="6">
        <f t="shared" si="0"/>
        <v>0</v>
      </c>
      <c r="H9" s="6">
        <f>IF(D9+E9=0,0,(B9+C9)/(D9+E9))</f>
        <v>0</v>
      </c>
      <c r="I9" s="21"/>
      <c r="J9" s="21"/>
      <c r="K9" s="6"/>
      <c r="L9" s="19">
        <f t="shared" si="1"/>
        <v>0</v>
      </c>
      <c r="M9" s="19">
        <f t="shared" si="2"/>
        <v>0</v>
      </c>
    </row>
    <row r="10" spans="1:13" s="11" customFormat="1" x14ac:dyDescent="0.25">
      <c r="A10" s="18" t="s">
        <v>20</v>
      </c>
      <c r="B10" s="8">
        <f>SUM(B7:B9)</f>
        <v>0</v>
      </c>
      <c r="C10" s="8">
        <f>SUM(C7:C9)</f>
        <v>0</v>
      </c>
      <c r="D10" s="8">
        <f>SUM(D7:D9)</f>
        <v>0</v>
      </c>
      <c r="E10" s="8">
        <f>SUM(E7:E9)</f>
        <v>0</v>
      </c>
      <c r="F10" s="9">
        <f t="shared" si="0"/>
        <v>0</v>
      </c>
      <c r="G10" s="9">
        <f t="shared" si="0"/>
        <v>0</v>
      </c>
      <c r="H10" s="9">
        <f>IF(D10+E10=0,0,(B10+C10)/(D10+E10))</f>
        <v>0</v>
      </c>
      <c r="I10" s="29"/>
      <c r="J10" s="29"/>
      <c r="K10" s="31"/>
      <c r="L10" s="10">
        <f t="shared" si="1"/>
        <v>0</v>
      </c>
      <c r="M10" s="19">
        <f t="shared" si="2"/>
        <v>0</v>
      </c>
    </row>
    <row r="11" spans="1:13" x14ac:dyDescent="0.25">
      <c r="L11" s="57">
        <f t="shared" si="1"/>
        <v>0</v>
      </c>
      <c r="M11" s="57">
        <f t="shared" si="2"/>
        <v>0</v>
      </c>
    </row>
    <row r="12" spans="1:13" x14ac:dyDescent="0.25">
      <c r="L12" s="57">
        <f t="shared" si="1"/>
        <v>0</v>
      </c>
      <c r="M12" s="57">
        <f t="shared" si="2"/>
        <v>0</v>
      </c>
    </row>
    <row r="13" spans="1:13" ht="20.25" x14ac:dyDescent="0.3">
      <c r="A13" s="20" t="str">
        <f>"MÅLESTATISTIKK FOR BLIKK- OG VENTILASJONSARBEID - 2. HALVÅR "&amp;FORS!$A$14</f>
        <v>MÅLESTATISTIKK FOR BLIKK- OG VENTILASJONSARBEID - 2. HALVÅR 2017</v>
      </c>
      <c r="L13" s="57">
        <f t="shared" si="1"/>
        <v>0</v>
      </c>
      <c r="M13" s="57">
        <f t="shared" si="2"/>
        <v>0</v>
      </c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5"/>
      <c r="B15" s="2" t="s">
        <v>4</v>
      </c>
      <c r="C15" s="3"/>
      <c r="D15" s="2" t="s">
        <v>5</v>
      </c>
      <c r="E15" s="3"/>
      <c r="F15" s="2" t="str">
        <f>"Fortjeneste 2. halvår  "&amp;FORS!$A$14-0</f>
        <v>Fortjeneste 2. halvår  2017</v>
      </c>
      <c r="G15" s="5"/>
      <c r="H15" s="3"/>
      <c r="I15" s="2" t="str">
        <f>" 2. halvår  "&amp;FORS!$A$14-1</f>
        <v xml:space="preserve"> 2. halvår  2016</v>
      </c>
      <c r="J15" s="5"/>
      <c r="K15" s="3"/>
      <c r="L15" s="46" t="s">
        <v>29</v>
      </c>
      <c r="M15" s="3"/>
    </row>
    <row r="16" spans="1:13" x14ac:dyDescent="0.25">
      <c r="A16" s="47"/>
      <c r="B16" s="48" t="s">
        <v>6</v>
      </c>
      <c r="C16" s="48" t="s">
        <v>6</v>
      </c>
      <c r="D16" s="48" t="s">
        <v>6</v>
      </c>
      <c r="E16" s="48" t="s">
        <v>6</v>
      </c>
      <c r="F16" s="48" t="s">
        <v>6</v>
      </c>
      <c r="G16" s="48" t="s">
        <v>6</v>
      </c>
      <c r="H16" s="49" t="s">
        <v>33</v>
      </c>
      <c r="I16" s="48" t="s">
        <v>6</v>
      </c>
      <c r="J16" s="48" t="s">
        <v>6</v>
      </c>
      <c r="K16" s="49" t="s">
        <v>31</v>
      </c>
      <c r="L16" s="48" t="s">
        <v>6</v>
      </c>
      <c r="M16" s="49" t="s">
        <v>31</v>
      </c>
    </row>
    <row r="17" spans="1:13" x14ac:dyDescent="0.25">
      <c r="A17" s="51"/>
      <c r="B17" s="52" t="s">
        <v>30</v>
      </c>
      <c r="C17" s="52" t="s">
        <v>32</v>
      </c>
      <c r="D17" s="52" t="s">
        <v>30</v>
      </c>
      <c r="E17" s="52" t="s">
        <v>32</v>
      </c>
      <c r="F17" s="52" t="s">
        <v>30</v>
      </c>
      <c r="G17" s="52" t="s">
        <v>32</v>
      </c>
      <c r="H17" s="53" t="s">
        <v>34</v>
      </c>
      <c r="I17" s="52" t="s">
        <v>30</v>
      </c>
      <c r="J17" s="52" t="s">
        <v>32</v>
      </c>
      <c r="K17" s="53" t="s">
        <v>28</v>
      </c>
      <c r="L17" s="52" t="s">
        <v>30</v>
      </c>
      <c r="M17" s="53" t="s">
        <v>28</v>
      </c>
    </row>
    <row r="18" spans="1:13" x14ac:dyDescent="0.25">
      <c r="A18" s="17" t="s">
        <v>11</v>
      </c>
      <c r="B18" s="21"/>
      <c r="C18" s="21"/>
      <c r="D18" s="21"/>
      <c r="E18" s="21"/>
      <c r="F18" s="6">
        <f t="shared" ref="F18:G21" si="3">IF(D18=0,0,B18/D18)</f>
        <v>0</v>
      </c>
      <c r="G18" s="6">
        <f t="shared" si="3"/>
        <v>0</v>
      </c>
      <c r="H18" s="6">
        <f>IF(D18+E18=0,0,(B18+C18)/(D18+E18))</f>
        <v>0</v>
      </c>
      <c r="I18" s="21"/>
      <c r="J18" s="21"/>
      <c r="K18" s="6"/>
      <c r="L18" s="19">
        <f>IF(I18=0,0,(B18-I18)/I18)</f>
        <v>0</v>
      </c>
      <c r="M18" s="19">
        <f>IF(K18=0,0,(H18-K18)/K18)</f>
        <v>0</v>
      </c>
    </row>
    <row r="19" spans="1:13" x14ac:dyDescent="0.25">
      <c r="A19" s="17" t="s">
        <v>13</v>
      </c>
      <c r="B19" s="21"/>
      <c r="C19" s="21"/>
      <c r="D19" s="21"/>
      <c r="E19" s="21"/>
      <c r="F19" s="6">
        <f t="shared" si="3"/>
        <v>0</v>
      </c>
      <c r="G19" s="6">
        <f t="shared" si="3"/>
        <v>0</v>
      </c>
      <c r="H19" s="6">
        <f>IF(D19+E19=0,0,(B19+C19)/(D19+E19))</f>
        <v>0</v>
      </c>
      <c r="I19" s="21"/>
      <c r="J19" s="21"/>
      <c r="K19" s="6"/>
      <c r="L19" s="19">
        <f t="shared" ref="L19:L21" si="4">IF(I19=0,0,(B19-I19)/I19)</f>
        <v>0</v>
      </c>
      <c r="M19" s="19">
        <f t="shared" ref="M19:M21" si="5">IF(K19=0,0,(H19-K19)/K19)</f>
        <v>0</v>
      </c>
    </row>
    <row r="20" spans="1:13" x14ac:dyDescent="0.25">
      <c r="A20" s="17" t="s">
        <v>19</v>
      </c>
      <c r="B20" s="21"/>
      <c r="C20" s="21"/>
      <c r="D20" s="21"/>
      <c r="E20" s="21"/>
      <c r="F20" s="6">
        <f t="shared" si="3"/>
        <v>0</v>
      </c>
      <c r="G20" s="6">
        <f t="shared" si="3"/>
        <v>0</v>
      </c>
      <c r="H20" s="6">
        <f>IF(D20+E20=0,0,(B20+C20)/(D20+E20))</f>
        <v>0</v>
      </c>
      <c r="I20" s="21"/>
      <c r="J20" s="21"/>
      <c r="K20" s="6"/>
      <c r="L20" s="19">
        <f t="shared" si="4"/>
        <v>0</v>
      </c>
      <c r="M20" s="19">
        <f t="shared" si="5"/>
        <v>0</v>
      </c>
    </row>
    <row r="21" spans="1:13" x14ac:dyDescent="0.25">
      <c r="A21" s="18" t="s">
        <v>20</v>
      </c>
      <c r="B21" s="40">
        <f>SUM(B18:B20)</f>
        <v>0</v>
      </c>
      <c r="C21" s="40">
        <f>SUM(C18:C20)</f>
        <v>0</v>
      </c>
      <c r="D21" s="40">
        <f>SUM(D18:D20)</f>
        <v>0</v>
      </c>
      <c r="E21" s="40">
        <f>SUM(C18:C20)</f>
        <v>0</v>
      </c>
      <c r="F21" s="9">
        <f t="shared" si="3"/>
        <v>0</v>
      </c>
      <c r="G21" s="9">
        <f t="shared" si="3"/>
        <v>0</v>
      </c>
      <c r="H21" s="9">
        <f>IF(D21+E21=0,0,(B21+C21)/(D21+E21))</f>
        <v>0</v>
      </c>
      <c r="I21" s="33"/>
      <c r="J21" s="33"/>
      <c r="K21" s="31"/>
      <c r="L21" s="32">
        <f t="shared" si="4"/>
        <v>0</v>
      </c>
      <c r="M21" s="32">
        <f t="shared" si="5"/>
        <v>0</v>
      </c>
    </row>
    <row r="24" spans="1:13" ht="20.25" x14ac:dyDescent="0.3">
      <c r="A24" s="20" t="str">
        <f>"MÅLESTATISTIKK FOR BLIKK- OG VENTILASJONSARBEID - GJENNOMSNITT HELE ÅRET  "&amp;FORS!$A$14</f>
        <v>MÅLESTATISTIKK FOR BLIKK- OG VENTILASJONSARBEID - GJENNOMSNITT HELE ÅRET  2017</v>
      </c>
    </row>
    <row r="25" spans="1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5"/>
      <c r="B26" s="2" t="s">
        <v>4</v>
      </c>
      <c r="C26" s="3"/>
      <c r="D26" s="2" t="s">
        <v>5</v>
      </c>
      <c r="E26" s="3"/>
      <c r="F26" s="2" t="str">
        <f>"Fortjeneste hele  "&amp;FORS!$A$14-0</f>
        <v>Fortjeneste hele  2017</v>
      </c>
      <c r="G26" s="5"/>
      <c r="H26" s="3"/>
      <c r="I26" s="2" t="str">
        <f>" Hele året  "&amp;FORS!$A$14-1</f>
        <v xml:space="preserve"> Hele året  2016</v>
      </c>
      <c r="J26" s="5"/>
      <c r="K26" s="3"/>
      <c r="L26" s="46" t="s">
        <v>29</v>
      </c>
      <c r="M26" s="3"/>
    </row>
    <row r="27" spans="1:13" x14ac:dyDescent="0.25">
      <c r="A27" s="47"/>
      <c r="B27" s="48" t="s">
        <v>6</v>
      </c>
      <c r="C27" s="48" t="s">
        <v>6</v>
      </c>
      <c r="D27" s="48" t="s">
        <v>6</v>
      </c>
      <c r="E27" s="48" t="s">
        <v>6</v>
      </c>
      <c r="F27" s="48" t="s">
        <v>6</v>
      </c>
      <c r="G27" s="48" t="s">
        <v>6</v>
      </c>
      <c r="H27" s="49" t="s">
        <v>33</v>
      </c>
      <c r="I27" s="48" t="s">
        <v>6</v>
      </c>
      <c r="J27" s="48" t="s">
        <v>6</v>
      </c>
      <c r="K27" s="49" t="s">
        <v>31</v>
      </c>
      <c r="L27" s="48" t="s">
        <v>6</v>
      </c>
      <c r="M27" s="49" t="s">
        <v>31</v>
      </c>
    </row>
    <row r="28" spans="1:13" x14ac:dyDescent="0.25">
      <c r="A28" s="51"/>
      <c r="B28" s="52" t="s">
        <v>30</v>
      </c>
      <c r="C28" s="52" t="s">
        <v>32</v>
      </c>
      <c r="D28" s="52" t="s">
        <v>30</v>
      </c>
      <c r="E28" s="52" t="s">
        <v>32</v>
      </c>
      <c r="F28" s="52" t="s">
        <v>30</v>
      </c>
      <c r="G28" s="52" t="s">
        <v>32</v>
      </c>
      <c r="H28" s="53" t="s">
        <v>34</v>
      </c>
      <c r="I28" s="52" t="s">
        <v>30</v>
      </c>
      <c r="J28" s="52" t="s">
        <v>32</v>
      </c>
      <c r="K28" s="53" t="s">
        <v>28</v>
      </c>
      <c r="L28" s="52" t="s">
        <v>30</v>
      </c>
      <c r="M28" s="53" t="s">
        <v>28</v>
      </c>
    </row>
    <row r="29" spans="1:13" x14ac:dyDescent="0.25">
      <c r="A29" s="17" t="s">
        <v>11</v>
      </c>
      <c r="B29" s="4">
        <f t="shared" ref="B29:E31" si="6">B7+B18</f>
        <v>0</v>
      </c>
      <c r="C29" s="4">
        <f t="shared" si="6"/>
        <v>0</v>
      </c>
      <c r="D29" s="4">
        <f t="shared" si="6"/>
        <v>0</v>
      </c>
      <c r="E29" s="4">
        <f t="shared" si="6"/>
        <v>0</v>
      </c>
      <c r="F29" s="6">
        <f t="shared" ref="F29:G32" si="7">IF(D29=0,0,B29/D29)</f>
        <v>0</v>
      </c>
      <c r="G29" s="6">
        <f t="shared" si="7"/>
        <v>0</v>
      </c>
      <c r="H29" s="6">
        <f>IF(D29+E29=0,0,(B29+C29)/(D29+E29))</f>
        <v>0</v>
      </c>
      <c r="I29" s="39"/>
      <c r="J29" s="6"/>
      <c r="K29" s="6"/>
      <c r="L29" s="19">
        <f>IF(I29=0,0,(B29-I29)/I29)</f>
        <v>0</v>
      </c>
      <c r="M29" s="19">
        <f>IF(K29=0,0,(H29-K29)/K29)</f>
        <v>0</v>
      </c>
    </row>
    <row r="30" spans="1:13" x14ac:dyDescent="0.25">
      <c r="A30" s="17" t="s">
        <v>13</v>
      </c>
      <c r="B30" s="4">
        <f t="shared" si="6"/>
        <v>0</v>
      </c>
      <c r="C30" s="4">
        <f t="shared" si="6"/>
        <v>0</v>
      </c>
      <c r="D30" s="4">
        <f t="shared" si="6"/>
        <v>0</v>
      </c>
      <c r="E30" s="4">
        <f t="shared" si="6"/>
        <v>0</v>
      </c>
      <c r="F30" s="6">
        <f t="shared" si="7"/>
        <v>0</v>
      </c>
      <c r="G30" s="6">
        <f t="shared" si="7"/>
        <v>0</v>
      </c>
      <c r="H30" s="6">
        <f>IF(D30+E30=0,0,(B30+C30)/(D30+E30))</f>
        <v>0</v>
      </c>
      <c r="I30" s="24"/>
      <c r="J30" s="6"/>
      <c r="K30" s="6"/>
      <c r="L30" s="19">
        <f t="shared" ref="L30:L32" si="8">IF(I30=0,0,(B30-I30)/I30)</f>
        <v>0</v>
      </c>
      <c r="M30" s="19">
        <f t="shared" ref="M30:M32" si="9">IF(K30=0,0,(H30-K30)/K30)</f>
        <v>0</v>
      </c>
    </row>
    <row r="31" spans="1:13" x14ac:dyDescent="0.25">
      <c r="A31" s="17" t="s">
        <v>19</v>
      </c>
      <c r="B31" s="4">
        <f t="shared" si="6"/>
        <v>0</v>
      </c>
      <c r="C31" s="4">
        <f t="shared" si="6"/>
        <v>0</v>
      </c>
      <c r="D31" s="4">
        <f t="shared" si="6"/>
        <v>0</v>
      </c>
      <c r="E31" s="4">
        <f t="shared" si="6"/>
        <v>0</v>
      </c>
      <c r="F31" s="6">
        <f t="shared" si="7"/>
        <v>0</v>
      </c>
      <c r="G31" s="6">
        <f t="shared" si="7"/>
        <v>0</v>
      </c>
      <c r="H31" s="6">
        <f>IF(D31+E31=0,0,(B31+C31)/(D31+E31))</f>
        <v>0</v>
      </c>
      <c r="I31" s="24"/>
      <c r="J31" s="6"/>
      <c r="K31" s="6"/>
      <c r="L31" s="19">
        <f t="shared" si="8"/>
        <v>0</v>
      </c>
      <c r="M31" s="19">
        <f t="shared" si="9"/>
        <v>0</v>
      </c>
    </row>
    <row r="32" spans="1:13" x14ac:dyDescent="0.25">
      <c r="A32" s="18" t="s">
        <v>20</v>
      </c>
      <c r="B32" s="8">
        <f>SUM(B29:B31)</f>
        <v>0</v>
      </c>
      <c r="C32" s="8">
        <f>SUM(C29:C31)</f>
        <v>0</v>
      </c>
      <c r="D32" s="8">
        <f>SUM(D29:D31)</f>
        <v>0</v>
      </c>
      <c r="E32" s="8">
        <f>SUM(E29:E31)</f>
        <v>0</v>
      </c>
      <c r="F32" s="9">
        <f t="shared" si="7"/>
        <v>0</v>
      </c>
      <c r="G32" s="9">
        <f t="shared" si="7"/>
        <v>0</v>
      </c>
      <c r="H32" s="9">
        <f>IF(D32+E32=0,0,(B32+C32)/(D32+E32))</f>
        <v>0</v>
      </c>
      <c r="I32" s="25"/>
      <c r="J32" s="6"/>
      <c r="K32" s="31"/>
      <c r="L32" s="32">
        <f t="shared" si="8"/>
        <v>0</v>
      </c>
      <c r="M32" s="32">
        <f t="shared" si="9"/>
        <v>0</v>
      </c>
    </row>
  </sheetData>
  <phoneticPr fontId="0" type="noConversion"/>
  <pageMargins left="0.59055118110236227" right="0.19685039370078741" top="0.98425196850393704" bottom="4.83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1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</vt:lpstr>
      <vt:lpstr>ÅRSTOT</vt:lpstr>
      <vt:lpstr>BETONG</vt:lpstr>
      <vt:lpstr>TØMRERE</vt:lpstr>
      <vt:lpstr>MALERE</vt:lpstr>
      <vt:lpstr>RØRLEGGERE</vt:lpstr>
      <vt:lpstr>TAKTEKKERE</vt:lpstr>
      <vt:lpstr>MURERE</vt:lpstr>
      <vt:lpstr>BLIKK OG VENTILASJON</vt:lpstr>
      <vt:lpstr>ISOLATØR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Fellesforbundet</dc:creator>
  <cp:lastModifiedBy>Jan Ornevik</cp:lastModifiedBy>
  <cp:lastPrinted>2016-10-18T10:29:09Z</cp:lastPrinted>
  <dcterms:created xsi:type="dcterms:W3CDTF">1999-08-02T20:22:00Z</dcterms:created>
  <dcterms:modified xsi:type="dcterms:W3CDTF">2019-02-04T10:39:27Z</dcterms:modified>
</cp:coreProperties>
</file>