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10os2cfi008\103480$\TC\Users\103480jaor\Documents\målekontor\"/>
    </mc:Choice>
  </mc:AlternateContent>
  <bookViews>
    <workbookView xWindow="2730" yWindow="1545" windowWidth="12630" windowHeight="6630" tabRatio="876" firstSheet="1" activeTab="1"/>
  </bookViews>
  <sheets>
    <sheet name="FORS" sheetId="1" r:id="rId1"/>
    <sheet name="ÅRSTOT" sheetId="2" r:id="rId2"/>
    <sheet name="BETONG" sheetId="3" r:id="rId3"/>
    <sheet name="TØMRERE" sheetId="4" r:id="rId4"/>
    <sheet name="MALERE" sheetId="5" r:id="rId5"/>
    <sheet name="RØRLEGGERE" sheetId="6" r:id="rId6"/>
    <sheet name="TAKTEKKERE" sheetId="8" r:id="rId7"/>
    <sheet name="MURERE" sheetId="10" r:id="rId8"/>
    <sheet name="BLIKK OG VENTILASJON" sheetId="7" r:id="rId9"/>
    <sheet name="ISOLATØR" sheetId="11" r:id="rId10"/>
  </sheets>
  <calcPr calcId="152511"/>
</workbook>
</file>

<file path=xl/calcChain.xml><?xml version="1.0" encoding="utf-8"?>
<calcChain xmlns="http://schemas.openxmlformats.org/spreadsheetml/2006/main">
  <c r="G37" i="5" l="1"/>
  <c r="G29" i="5"/>
  <c r="H16" i="5"/>
  <c r="H15" i="5"/>
  <c r="H11" i="5"/>
  <c r="H12" i="5"/>
  <c r="H13" i="5"/>
  <c r="G15" i="5"/>
  <c r="F16" i="5"/>
  <c r="F15" i="5"/>
  <c r="G16" i="5"/>
  <c r="H9" i="5"/>
  <c r="H10" i="5"/>
  <c r="H8" i="5"/>
  <c r="M13" i="6"/>
  <c r="B20" i="2" l="1"/>
  <c r="B8" i="2"/>
  <c r="B7" i="2"/>
  <c r="B68" i="3" l="1"/>
  <c r="E68" i="3"/>
  <c r="D68" i="3"/>
  <c r="C68" i="3"/>
  <c r="B21" i="2" l="1"/>
  <c r="B44" i="2"/>
  <c r="B67" i="2" s="1"/>
  <c r="H61" i="4"/>
  <c r="H60" i="4"/>
  <c r="F61" i="4"/>
  <c r="F60" i="4"/>
  <c r="G60" i="4"/>
  <c r="F49" i="4"/>
  <c r="D61" i="4"/>
  <c r="B61" i="4"/>
  <c r="E40" i="6" l="1"/>
  <c r="E39" i="6"/>
  <c r="D40" i="6"/>
  <c r="C40" i="6"/>
  <c r="B40" i="6"/>
  <c r="E51" i="8"/>
  <c r="D51" i="8"/>
  <c r="C51" i="8"/>
  <c r="B51" i="8"/>
  <c r="D55" i="5" l="1"/>
  <c r="F55" i="5" s="1"/>
  <c r="B55" i="5"/>
  <c r="D67" i="3"/>
  <c r="B67" i="3"/>
  <c r="B65" i="3"/>
  <c r="E53" i="8"/>
  <c r="D53" i="8"/>
  <c r="C53" i="8"/>
  <c r="B53" i="8"/>
  <c r="E55" i="8"/>
  <c r="D55" i="8"/>
  <c r="F55" i="8" s="1"/>
  <c r="C55" i="8"/>
  <c r="B55" i="8"/>
  <c r="F36" i="8"/>
  <c r="E36" i="6" l="1"/>
  <c r="D36" i="6"/>
  <c r="C36" i="6"/>
  <c r="B36" i="6"/>
  <c r="C42" i="2" l="1"/>
  <c r="D42" i="2"/>
  <c r="E19" i="2"/>
  <c r="E57" i="4"/>
  <c r="D57" i="4"/>
  <c r="C57" i="4"/>
  <c r="B57" i="4"/>
  <c r="D66" i="3"/>
  <c r="F38" i="4"/>
  <c r="D43" i="2"/>
  <c r="C43" i="2"/>
  <c r="B42" i="2"/>
  <c r="B19" i="2"/>
  <c r="E18" i="8"/>
  <c r="F13" i="8"/>
  <c r="D57" i="3"/>
  <c r="B57" i="3"/>
  <c r="B43" i="2"/>
  <c r="F42" i="2" l="1"/>
  <c r="B65" i="2"/>
  <c r="B58" i="10"/>
  <c r="F38" i="10"/>
  <c r="H66" i="3"/>
  <c r="G66" i="3"/>
  <c r="F66" i="3"/>
  <c r="E66" i="3"/>
  <c r="C66" i="3"/>
  <c r="B66" i="3"/>
  <c r="H43" i="3"/>
  <c r="G43" i="3"/>
  <c r="F43" i="3"/>
  <c r="M43" i="3"/>
  <c r="L42" i="3"/>
  <c r="L43" i="3"/>
  <c r="F59" i="4"/>
  <c r="G56" i="4"/>
  <c r="G57" i="4"/>
  <c r="G58" i="4"/>
  <c r="G59" i="4"/>
  <c r="E60" i="4"/>
  <c r="C60" i="4"/>
  <c r="D60" i="4"/>
  <c r="B60" i="4"/>
  <c r="D48" i="8"/>
  <c r="B48" i="8"/>
  <c r="E48" i="5"/>
  <c r="D48" i="5"/>
  <c r="C48" i="5"/>
  <c r="B48" i="5"/>
  <c r="E53" i="4"/>
  <c r="D53" i="4"/>
  <c r="C53" i="4"/>
  <c r="B53" i="4"/>
  <c r="D58" i="3"/>
  <c r="B58" i="3"/>
  <c r="G61" i="4"/>
  <c r="H57" i="4"/>
  <c r="H58" i="4"/>
  <c r="H59" i="4"/>
  <c r="H56" i="4"/>
  <c r="D59" i="4"/>
  <c r="B59" i="4"/>
  <c r="F65" i="3"/>
  <c r="H65" i="3"/>
  <c r="D65" i="3"/>
  <c r="H42" i="3"/>
  <c r="F42" i="3"/>
  <c r="D51" i="5" l="1"/>
  <c r="B51" i="5"/>
  <c r="E56" i="4"/>
  <c r="D56" i="4"/>
  <c r="C56" i="4"/>
  <c r="B56" i="4"/>
  <c r="D50" i="4"/>
  <c r="B50" i="4"/>
  <c r="E49" i="4"/>
  <c r="D49" i="4"/>
  <c r="C49" i="4"/>
  <c r="B49" i="4"/>
  <c r="D54" i="3"/>
  <c r="B54" i="3"/>
  <c r="D46" i="5"/>
  <c r="B46" i="5"/>
  <c r="E53" i="5"/>
  <c r="D53" i="5"/>
  <c r="C53" i="5"/>
  <c r="B53" i="5"/>
  <c r="F35" i="4" l="1"/>
  <c r="D30" i="2" l="1"/>
  <c r="C30" i="2"/>
  <c r="B30" i="2"/>
  <c r="L30" i="3"/>
  <c r="L31" i="3"/>
  <c r="E53" i="3"/>
  <c r="D53" i="3"/>
  <c r="C53" i="3"/>
  <c r="B53" i="3"/>
  <c r="D52" i="8"/>
  <c r="B52" i="8"/>
  <c r="E45" i="8"/>
  <c r="D45" i="8"/>
  <c r="C45" i="8"/>
  <c r="B45" i="8"/>
  <c r="H30" i="3"/>
  <c r="H37" i="3"/>
  <c r="F30" i="3"/>
  <c r="F34" i="3"/>
  <c r="D62" i="3"/>
  <c r="B62" i="3"/>
  <c r="H60" i="3"/>
  <c r="F60" i="3"/>
  <c r="F53" i="3"/>
  <c r="B60" i="3"/>
  <c r="D60" i="3"/>
  <c r="D64" i="3"/>
  <c r="B64" i="3"/>
  <c r="D39" i="6" l="1"/>
  <c r="C39" i="6"/>
  <c r="B39" i="6"/>
  <c r="D54" i="5"/>
  <c r="B54" i="5"/>
  <c r="E18" i="5" l="1"/>
  <c r="B18" i="5"/>
  <c r="L13" i="6" l="1"/>
  <c r="B18" i="2" l="1"/>
  <c r="C12" i="2" l="1"/>
  <c r="L16" i="4" l="1"/>
  <c r="L17" i="4"/>
  <c r="L18" i="4"/>
  <c r="L19" i="4"/>
  <c r="M9" i="5"/>
  <c r="M10" i="5"/>
  <c r="M11" i="5"/>
  <c r="M12" i="5"/>
  <c r="M13" i="5"/>
  <c r="F13" i="5"/>
  <c r="G11" i="5"/>
  <c r="G12" i="5"/>
  <c r="G13" i="5"/>
  <c r="H7" i="5"/>
  <c r="G10" i="5"/>
  <c r="F10" i="5"/>
  <c r="L15" i="4"/>
  <c r="B14" i="2" l="1"/>
  <c r="E18" i="2"/>
  <c r="D18" i="2"/>
  <c r="C18" i="2"/>
  <c r="D20" i="2"/>
  <c r="F20" i="2" s="1"/>
  <c r="H16" i="4"/>
  <c r="H17" i="4"/>
  <c r="H18" i="4"/>
  <c r="H19" i="4"/>
  <c r="G16" i="4"/>
  <c r="G17" i="4"/>
  <c r="G18" i="4"/>
  <c r="G19" i="4"/>
  <c r="F16" i="4"/>
  <c r="F17" i="4"/>
  <c r="F18" i="4"/>
  <c r="F19" i="4"/>
  <c r="D19" i="2"/>
  <c r="L14" i="3" l="1"/>
  <c r="L13" i="3"/>
  <c r="H14" i="3"/>
  <c r="F14" i="3"/>
  <c r="F13" i="3"/>
  <c r="G61" i="3"/>
  <c r="J68" i="2" l="1"/>
  <c r="I68" i="2"/>
  <c r="J45" i="2"/>
  <c r="I45" i="2"/>
  <c r="I22" i="2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J53" i="3"/>
  <c r="I53" i="3"/>
  <c r="I45" i="3"/>
  <c r="J22" i="3"/>
  <c r="I22" i="3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J49" i="4"/>
  <c r="I49" i="4"/>
  <c r="J41" i="4"/>
  <c r="I41" i="4"/>
  <c r="J20" i="4"/>
  <c r="I20" i="4"/>
  <c r="J46" i="5"/>
  <c r="J47" i="5"/>
  <c r="J48" i="5"/>
  <c r="J49" i="5"/>
  <c r="J50" i="5"/>
  <c r="J51" i="5"/>
  <c r="J52" i="5"/>
  <c r="J53" i="5"/>
  <c r="J54" i="5"/>
  <c r="J55" i="5"/>
  <c r="I46" i="5"/>
  <c r="I47" i="5"/>
  <c r="I48" i="5"/>
  <c r="I49" i="5"/>
  <c r="I50" i="5"/>
  <c r="I51" i="5"/>
  <c r="I52" i="5"/>
  <c r="I53" i="5"/>
  <c r="I54" i="5"/>
  <c r="I55" i="5"/>
  <c r="I56" i="5"/>
  <c r="J45" i="5"/>
  <c r="I45" i="5"/>
  <c r="J37" i="5"/>
  <c r="I37" i="5"/>
  <c r="J18" i="5"/>
  <c r="J56" i="5" s="1"/>
  <c r="I18" i="5"/>
  <c r="J36" i="6"/>
  <c r="J37" i="6"/>
  <c r="J38" i="6"/>
  <c r="J39" i="6"/>
  <c r="J40" i="6"/>
  <c r="J41" i="6"/>
  <c r="I36" i="6"/>
  <c r="I37" i="6"/>
  <c r="I38" i="6"/>
  <c r="I39" i="6"/>
  <c r="I40" i="6"/>
  <c r="I41" i="6"/>
  <c r="J35" i="6"/>
  <c r="I35" i="6"/>
  <c r="I27" i="6"/>
  <c r="I13" i="6"/>
  <c r="J56" i="8"/>
  <c r="J46" i="8"/>
  <c r="J47" i="8"/>
  <c r="J48" i="8"/>
  <c r="J49" i="8"/>
  <c r="J50" i="8"/>
  <c r="J51" i="8"/>
  <c r="J52" i="8"/>
  <c r="J53" i="8"/>
  <c r="J54" i="8"/>
  <c r="J55" i="8"/>
  <c r="I46" i="8"/>
  <c r="I47" i="8"/>
  <c r="I48" i="8"/>
  <c r="I49" i="8"/>
  <c r="I50" i="8"/>
  <c r="I51" i="8"/>
  <c r="I52" i="8"/>
  <c r="I53" i="8"/>
  <c r="I54" i="8"/>
  <c r="I55" i="8"/>
  <c r="I56" i="8"/>
  <c r="J45" i="8"/>
  <c r="I45" i="8"/>
  <c r="J37" i="8"/>
  <c r="I37" i="8"/>
  <c r="J18" i="8"/>
  <c r="I18" i="8"/>
  <c r="J59" i="10" l="1"/>
  <c r="I59" i="10"/>
  <c r="I39" i="10"/>
  <c r="J19" i="10"/>
  <c r="I19" i="10"/>
  <c r="F12" i="10"/>
  <c r="H10" i="10"/>
  <c r="L8" i="11" l="1"/>
  <c r="M8" i="11"/>
  <c r="M9" i="11"/>
  <c r="M7" i="11"/>
  <c r="L7" i="11"/>
  <c r="M56" i="10"/>
  <c r="L56" i="10"/>
  <c r="M54" i="10"/>
  <c r="L54" i="10"/>
  <c r="M53" i="10"/>
  <c r="L53" i="10"/>
  <c r="M51" i="10"/>
  <c r="L51" i="10"/>
  <c r="M49" i="10"/>
  <c r="L49" i="10"/>
  <c r="M47" i="10"/>
  <c r="L47" i="10"/>
  <c r="L39" i="10"/>
  <c r="L38" i="10"/>
  <c r="L37" i="10"/>
  <c r="M36" i="10"/>
  <c r="L36" i="10"/>
  <c r="L35" i="10"/>
  <c r="M34" i="10"/>
  <c r="L34" i="10"/>
  <c r="M33" i="10"/>
  <c r="L33" i="10"/>
  <c r="L32" i="10"/>
  <c r="M31" i="10"/>
  <c r="L31" i="10"/>
  <c r="M30" i="10"/>
  <c r="L30" i="10"/>
  <c r="M29" i="10"/>
  <c r="L29" i="10"/>
  <c r="M28" i="10"/>
  <c r="L28" i="10"/>
  <c r="M27" i="10"/>
  <c r="L27" i="10"/>
  <c r="L18" i="10"/>
  <c r="L17" i="10"/>
  <c r="M16" i="10"/>
  <c r="L16" i="10"/>
  <c r="L15" i="10"/>
  <c r="M14" i="10"/>
  <c r="L14" i="10"/>
  <c r="M13" i="10"/>
  <c r="L13" i="10"/>
  <c r="L12" i="10"/>
  <c r="M11" i="10"/>
  <c r="L11" i="10"/>
  <c r="L10" i="10"/>
  <c r="M9" i="10"/>
  <c r="L9" i="10"/>
  <c r="L8" i="10"/>
  <c r="M7" i="10"/>
  <c r="L7" i="10"/>
  <c r="L55" i="8"/>
  <c r="L54" i="8"/>
  <c r="L53" i="8"/>
  <c r="L52" i="8"/>
  <c r="L51" i="8"/>
  <c r="L50" i="8"/>
  <c r="L49" i="8"/>
  <c r="L48" i="8"/>
  <c r="M47" i="8"/>
  <c r="L47" i="8"/>
  <c r="M46" i="8"/>
  <c r="L46" i="8"/>
  <c r="L45" i="8"/>
  <c r="L36" i="8"/>
  <c r="L35" i="8"/>
  <c r="L34" i="8"/>
  <c r="L33" i="8"/>
  <c r="L32" i="8"/>
  <c r="M31" i="8"/>
  <c r="L31" i="8"/>
  <c r="L30" i="8"/>
  <c r="L29" i="8"/>
  <c r="M28" i="8"/>
  <c r="L28" i="8"/>
  <c r="M27" i="8"/>
  <c r="L27" i="8"/>
  <c r="L26" i="8"/>
  <c r="L11" i="8"/>
  <c r="L12" i="8"/>
  <c r="L13" i="8"/>
  <c r="L14" i="8"/>
  <c r="L15" i="8"/>
  <c r="L16" i="8"/>
  <c r="L17" i="8"/>
  <c r="L10" i="8"/>
  <c r="M9" i="8"/>
  <c r="L9" i="8"/>
  <c r="M8" i="8"/>
  <c r="L8" i="8"/>
  <c r="L7" i="8"/>
  <c r="M32" i="7"/>
  <c r="L32" i="7"/>
  <c r="M31" i="7"/>
  <c r="L31" i="7"/>
  <c r="M30" i="7"/>
  <c r="L30" i="7"/>
  <c r="M29" i="7"/>
  <c r="L29" i="7"/>
  <c r="M21" i="7"/>
  <c r="L21" i="7"/>
  <c r="M20" i="7"/>
  <c r="L20" i="7"/>
  <c r="M19" i="7"/>
  <c r="L19" i="7"/>
  <c r="M18" i="7"/>
  <c r="L18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L40" i="6"/>
  <c r="L39" i="6"/>
  <c r="M38" i="6"/>
  <c r="L38" i="6"/>
  <c r="M37" i="6"/>
  <c r="L37" i="6"/>
  <c r="L36" i="6"/>
  <c r="L35" i="6"/>
  <c r="L26" i="6"/>
  <c r="L25" i="6"/>
  <c r="M24" i="6"/>
  <c r="L24" i="6"/>
  <c r="M23" i="6"/>
  <c r="L23" i="6"/>
  <c r="L22" i="6"/>
  <c r="L21" i="6"/>
  <c r="L8" i="6"/>
  <c r="M8" i="6"/>
  <c r="L9" i="6"/>
  <c r="M9" i="6"/>
  <c r="L10" i="6"/>
  <c r="M10" i="6"/>
  <c r="L11" i="6"/>
  <c r="L12" i="6"/>
  <c r="M7" i="6"/>
  <c r="L7" i="6"/>
  <c r="L55" i="5"/>
  <c r="L54" i="5"/>
  <c r="L53" i="5"/>
  <c r="M52" i="5"/>
  <c r="L52" i="5"/>
  <c r="L51" i="5"/>
  <c r="M50" i="5"/>
  <c r="L50" i="5"/>
  <c r="M49" i="5"/>
  <c r="L49" i="5"/>
  <c r="L48" i="5"/>
  <c r="M47" i="5"/>
  <c r="L47" i="5"/>
  <c r="L46" i="5"/>
  <c r="M45" i="5"/>
  <c r="L45" i="5"/>
  <c r="L36" i="5"/>
  <c r="L35" i="5"/>
  <c r="L34" i="5"/>
  <c r="M33" i="5"/>
  <c r="L33" i="5"/>
  <c r="L32" i="5"/>
  <c r="M31" i="5"/>
  <c r="L31" i="5"/>
  <c r="M30" i="5"/>
  <c r="L30" i="5"/>
  <c r="L29" i="5"/>
  <c r="M28" i="5"/>
  <c r="L28" i="5"/>
  <c r="L27" i="5"/>
  <c r="M26" i="5"/>
  <c r="L26" i="5"/>
  <c r="L8" i="5"/>
  <c r="L9" i="5"/>
  <c r="L10" i="5"/>
  <c r="L11" i="5"/>
  <c r="L12" i="5"/>
  <c r="L13" i="5"/>
  <c r="L14" i="5"/>
  <c r="M14" i="5"/>
  <c r="L15" i="5"/>
  <c r="L16" i="5"/>
  <c r="L17" i="5"/>
  <c r="M7" i="5"/>
  <c r="L7" i="5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0" i="4"/>
  <c r="L39" i="4"/>
  <c r="L38" i="4"/>
  <c r="M37" i="4"/>
  <c r="L37" i="4"/>
  <c r="L36" i="4"/>
  <c r="L35" i="4"/>
  <c r="L34" i="4"/>
  <c r="L33" i="4"/>
  <c r="L32" i="4"/>
  <c r="L31" i="4"/>
  <c r="L30" i="4"/>
  <c r="L29" i="4"/>
  <c r="L28" i="4"/>
  <c r="M22" i="4"/>
  <c r="L22" i="4"/>
  <c r="M21" i="4"/>
  <c r="L21" i="4"/>
  <c r="L14" i="4"/>
  <c r="L13" i="4"/>
  <c r="L12" i="4"/>
  <c r="L11" i="4"/>
  <c r="M9" i="4"/>
  <c r="L9" i="4"/>
  <c r="L8" i="4"/>
  <c r="L7" i="4"/>
  <c r="L67" i="3"/>
  <c r="L66" i="3"/>
  <c r="L65" i="3"/>
  <c r="L64" i="3"/>
  <c r="L63" i="3"/>
  <c r="L62" i="3"/>
  <c r="L61" i="3"/>
  <c r="L60" i="3"/>
  <c r="M59" i="3"/>
  <c r="L59" i="3"/>
  <c r="L58" i="3"/>
  <c r="L57" i="3"/>
  <c r="M56" i="3"/>
  <c r="L56" i="3"/>
  <c r="L55" i="3"/>
  <c r="L54" i="3"/>
  <c r="L53" i="3"/>
  <c r="L44" i="3"/>
  <c r="L41" i="3"/>
  <c r="L40" i="3"/>
  <c r="L39" i="3"/>
  <c r="M38" i="3"/>
  <c r="L38" i="3"/>
  <c r="L37" i="3"/>
  <c r="M36" i="3"/>
  <c r="L36" i="3"/>
  <c r="L35" i="3"/>
  <c r="L34" i="3"/>
  <c r="M33" i="3"/>
  <c r="L33" i="3"/>
  <c r="L32" i="3"/>
  <c r="L8" i="3"/>
  <c r="L9" i="3"/>
  <c r="L10" i="3"/>
  <c r="M10" i="3"/>
  <c r="L11" i="3"/>
  <c r="L12" i="3"/>
  <c r="M13" i="3"/>
  <c r="L15" i="3"/>
  <c r="L16" i="3"/>
  <c r="L18" i="3"/>
  <c r="L19" i="3"/>
  <c r="L20" i="3"/>
  <c r="L21" i="3"/>
  <c r="L7" i="3"/>
  <c r="I24" i="10"/>
  <c r="F24" i="10"/>
  <c r="I23" i="8"/>
  <c r="F23" i="8"/>
  <c r="I15" i="7"/>
  <c r="F15" i="7"/>
  <c r="I18" i="6"/>
  <c r="F18" i="6"/>
  <c r="I23" i="5"/>
  <c r="F23" i="5"/>
  <c r="I25" i="4"/>
  <c r="F25" i="4"/>
  <c r="I27" i="3"/>
  <c r="F27" i="3"/>
  <c r="I44" i="10"/>
  <c r="F44" i="10"/>
  <c r="I42" i="8"/>
  <c r="F42" i="8"/>
  <c r="I26" i="7"/>
  <c r="F26" i="7"/>
  <c r="I32" i="6"/>
  <c r="F32" i="6"/>
  <c r="I42" i="5"/>
  <c r="F42" i="5"/>
  <c r="I50" i="2"/>
  <c r="F50" i="2"/>
  <c r="I50" i="3"/>
  <c r="F50" i="3"/>
  <c r="I46" i="4"/>
  <c r="F46" i="4"/>
  <c r="I27" i="2"/>
  <c r="F27" i="2"/>
  <c r="I4" i="11"/>
  <c r="F4" i="11"/>
  <c r="I4" i="10"/>
  <c r="F4" i="10"/>
  <c r="I4" i="8"/>
  <c r="F4" i="8"/>
  <c r="I4" i="7"/>
  <c r="F4" i="7"/>
  <c r="I4" i="6"/>
  <c r="F4" i="6"/>
  <c r="I4" i="5"/>
  <c r="F4" i="5"/>
  <c r="I4" i="4"/>
  <c r="F4" i="4"/>
  <c r="I4" i="2"/>
  <c r="F4" i="2"/>
  <c r="F4" i="3"/>
  <c r="I4" i="3" l="1"/>
  <c r="F30" i="8" l="1"/>
  <c r="H30" i="8"/>
  <c r="M30" i="8" s="1"/>
  <c r="G30" i="8"/>
  <c r="I9" i="11" l="1"/>
  <c r="L9" i="11" s="1"/>
  <c r="J9" i="11"/>
  <c r="E35" i="2"/>
  <c r="D35" i="2"/>
  <c r="C35" i="2"/>
  <c r="B35" i="2"/>
  <c r="L35" i="2" s="1"/>
  <c r="E31" i="2"/>
  <c r="D31" i="2"/>
  <c r="C31" i="2"/>
  <c r="B31" i="2"/>
  <c r="L31" i="2" s="1"/>
  <c r="E30" i="2"/>
  <c r="L30" i="2"/>
  <c r="E12" i="2"/>
  <c r="D12" i="2"/>
  <c r="B12" i="2"/>
  <c r="L12" i="2" s="1"/>
  <c r="E8" i="2"/>
  <c r="G8" i="2" s="1"/>
  <c r="D8" i="2"/>
  <c r="C8" i="2"/>
  <c r="J8" i="2" s="1"/>
  <c r="J22" i="2" s="1"/>
  <c r="L8" i="2"/>
  <c r="E7" i="2"/>
  <c r="D7" i="2"/>
  <c r="C7" i="2"/>
  <c r="L7" i="2"/>
  <c r="H27" i="10"/>
  <c r="C54" i="2" l="1"/>
  <c r="C58" i="2"/>
  <c r="B54" i="2"/>
  <c r="L54" i="2" s="1"/>
  <c r="C53" i="2"/>
  <c r="E54" i="2"/>
  <c r="B58" i="2"/>
  <c r="L58" i="2" s="1"/>
  <c r="D53" i="2"/>
  <c r="B53" i="2"/>
  <c r="E53" i="2"/>
  <c r="D58" i="2"/>
  <c r="E58" i="2"/>
  <c r="F8" i="2"/>
  <c r="H8" i="2"/>
  <c r="M8" i="2" s="1"/>
  <c r="D54" i="2"/>
  <c r="B27" i="6"/>
  <c r="L27" i="6" s="1"/>
  <c r="L53" i="2" l="1"/>
  <c r="G50" i="4"/>
  <c r="F51" i="4"/>
  <c r="G51" i="4"/>
  <c r="G52" i="4"/>
  <c r="G53" i="4"/>
  <c r="F54" i="4"/>
  <c r="G54" i="4"/>
  <c r="G55" i="4"/>
  <c r="F56" i="4"/>
  <c r="F57" i="4" l="1"/>
  <c r="F53" i="4"/>
  <c r="F50" i="4"/>
  <c r="F58" i="4"/>
  <c r="F52" i="4"/>
  <c r="H52" i="4"/>
  <c r="M52" i="4" s="1"/>
  <c r="M61" i="4"/>
  <c r="H55" i="4"/>
  <c r="M55" i="4" s="1"/>
  <c r="F55" i="4"/>
  <c r="B62" i="4"/>
  <c r="L62" i="4" s="1"/>
  <c r="H51" i="4"/>
  <c r="M51" i="4" s="1"/>
  <c r="H54" i="4"/>
  <c r="M54" i="4" s="1"/>
  <c r="M57" i="4"/>
  <c r="M56" i="4"/>
  <c r="H50" i="4"/>
  <c r="M50" i="4" s="1"/>
  <c r="M59" i="4"/>
  <c r="M58" i="4"/>
  <c r="H53" i="4"/>
  <c r="M53" i="4" s="1"/>
  <c r="M60" i="4"/>
  <c r="F34" i="8" l="1"/>
  <c r="G34" i="8"/>
  <c r="H34" i="8"/>
  <c r="M34" i="8" s="1"/>
  <c r="F35" i="8"/>
  <c r="G35" i="8"/>
  <c r="H35" i="8"/>
  <c r="M35" i="8" s="1"/>
  <c r="A40" i="8" l="1"/>
  <c r="A21" i="8"/>
  <c r="A2" i="8"/>
  <c r="A24" i="7"/>
  <c r="A13" i="7"/>
  <c r="A2" i="7"/>
  <c r="A2" i="3"/>
  <c r="L18" i="2" l="1"/>
  <c r="G18" i="2" l="1"/>
  <c r="F18" i="2"/>
  <c r="H18" i="2"/>
  <c r="M18" i="2" s="1"/>
  <c r="F15" i="4"/>
  <c r="G15" i="4"/>
  <c r="H15" i="4"/>
  <c r="M15" i="4" s="1"/>
  <c r="G36" i="6" l="1"/>
  <c r="C48" i="10"/>
  <c r="D48" i="10"/>
  <c r="E48" i="10"/>
  <c r="G48" i="10" s="1"/>
  <c r="C49" i="10"/>
  <c r="D49" i="10"/>
  <c r="F49" i="10" s="1"/>
  <c r="E49" i="10"/>
  <c r="C50" i="10"/>
  <c r="D50" i="10"/>
  <c r="E50" i="10"/>
  <c r="C51" i="10"/>
  <c r="D51" i="10"/>
  <c r="E51" i="10"/>
  <c r="G51" i="10" s="1"/>
  <c r="C52" i="10"/>
  <c r="D52" i="10"/>
  <c r="E52" i="10"/>
  <c r="G52" i="10" s="1"/>
  <c r="C53" i="10"/>
  <c r="D53" i="10"/>
  <c r="F53" i="10" s="1"/>
  <c r="E53" i="10"/>
  <c r="G53" i="10" s="1"/>
  <c r="C54" i="10"/>
  <c r="D54" i="10"/>
  <c r="F54" i="10" s="1"/>
  <c r="E54" i="10"/>
  <c r="C55" i="10"/>
  <c r="D55" i="10"/>
  <c r="E55" i="10"/>
  <c r="C56" i="10"/>
  <c r="D56" i="10"/>
  <c r="F56" i="10" s="1"/>
  <c r="E56" i="10"/>
  <c r="C57" i="10"/>
  <c r="D57" i="10"/>
  <c r="E57" i="10"/>
  <c r="G57" i="10" s="1"/>
  <c r="C58" i="10"/>
  <c r="D58" i="10"/>
  <c r="E58" i="10"/>
  <c r="G58" i="10" s="1"/>
  <c r="C47" i="10"/>
  <c r="D47" i="10"/>
  <c r="E47" i="10"/>
  <c r="G47" i="10" s="1"/>
  <c r="B48" i="10"/>
  <c r="L48" i="10" s="1"/>
  <c r="B49" i="10"/>
  <c r="B50" i="10"/>
  <c r="L50" i="10" s="1"/>
  <c r="B51" i="10"/>
  <c r="B52" i="10"/>
  <c r="B53" i="10"/>
  <c r="B54" i="10"/>
  <c r="B55" i="10"/>
  <c r="L55" i="10" s="1"/>
  <c r="B56" i="10"/>
  <c r="B57" i="10"/>
  <c r="L57" i="10" s="1"/>
  <c r="L58" i="10"/>
  <c r="B47" i="10"/>
  <c r="F25" i="6"/>
  <c r="F26" i="6"/>
  <c r="D44" i="2"/>
  <c r="B32" i="2"/>
  <c r="L32" i="2" s="1"/>
  <c r="C32" i="2"/>
  <c r="D32" i="2"/>
  <c r="E32" i="2"/>
  <c r="G32" i="2" s="1"/>
  <c r="B33" i="2"/>
  <c r="L33" i="2" s="1"/>
  <c r="C33" i="2"/>
  <c r="D33" i="2"/>
  <c r="E33" i="2"/>
  <c r="G33" i="2" s="1"/>
  <c r="B34" i="2"/>
  <c r="L34" i="2" s="1"/>
  <c r="C34" i="2"/>
  <c r="D34" i="2"/>
  <c r="E34" i="2"/>
  <c r="G34" i="2" s="1"/>
  <c r="B36" i="2"/>
  <c r="L36" i="2" s="1"/>
  <c r="C36" i="2"/>
  <c r="D36" i="2"/>
  <c r="E36" i="2"/>
  <c r="B37" i="2"/>
  <c r="L37" i="2" s="1"/>
  <c r="C37" i="2"/>
  <c r="D37" i="2"/>
  <c r="E37" i="2"/>
  <c r="B38" i="2"/>
  <c r="L38" i="2" s="1"/>
  <c r="C38" i="2"/>
  <c r="D38" i="2"/>
  <c r="E38" i="2"/>
  <c r="B39" i="2"/>
  <c r="L39" i="2" s="1"/>
  <c r="C39" i="2"/>
  <c r="D39" i="2"/>
  <c r="E39" i="2"/>
  <c r="B40" i="2"/>
  <c r="L40" i="2" s="1"/>
  <c r="C40" i="2"/>
  <c r="D40" i="2"/>
  <c r="E40" i="2"/>
  <c r="B41" i="2"/>
  <c r="C41" i="2"/>
  <c r="D41" i="2"/>
  <c r="E41" i="2"/>
  <c r="E42" i="2"/>
  <c r="E65" i="2" s="1"/>
  <c r="L43" i="2"/>
  <c r="E43" i="2"/>
  <c r="C44" i="2"/>
  <c r="E44" i="2"/>
  <c r="G53" i="3"/>
  <c r="G55" i="3"/>
  <c r="G57" i="3"/>
  <c r="G60" i="3"/>
  <c r="G62" i="3"/>
  <c r="G63" i="3"/>
  <c r="G64" i="3"/>
  <c r="G65" i="3"/>
  <c r="G46" i="5"/>
  <c r="F27" i="10"/>
  <c r="F28" i="10"/>
  <c r="F29" i="10"/>
  <c r="F30" i="10"/>
  <c r="F31" i="10"/>
  <c r="F32" i="10"/>
  <c r="F33" i="10"/>
  <c r="F34" i="10"/>
  <c r="F35" i="10"/>
  <c r="F36" i="10"/>
  <c r="F37" i="10"/>
  <c r="G54" i="8"/>
  <c r="M30" i="3"/>
  <c r="H35" i="10"/>
  <c r="M35" i="10" s="1"/>
  <c r="H37" i="10"/>
  <c r="M37" i="10" s="1"/>
  <c r="H38" i="10"/>
  <c r="M38" i="10" s="1"/>
  <c r="G35" i="10"/>
  <c r="F47" i="5"/>
  <c r="G47" i="5"/>
  <c r="F48" i="5"/>
  <c r="G49" i="5"/>
  <c r="G50" i="5"/>
  <c r="G54" i="5"/>
  <c r="G55" i="5"/>
  <c r="H9" i="4"/>
  <c r="G46" i="8"/>
  <c r="G47" i="8"/>
  <c r="G35" i="6"/>
  <c r="G38" i="6"/>
  <c r="C10" i="2"/>
  <c r="D10" i="2"/>
  <c r="E10" i="2"/>
  <c r="B10" i="2"/>
  <c r="F12" i="8"/>
  <c r="G12" i="8"/>
  <c r="H12" i="8"/>
  <c r="M12" i="8" s="1"/>
  <c r="F16" i="8"/>
  <c r="G16" i="8"/>
  <c r="H16" i="8"/>
  <c r="M16" i="8" s="1"/>
  <c r="D9" i="2"/>
  <c r="E9" i="2"/>
  <c r="B9" i="2"/>
  <c r="L9" i="2" s="1"/>
  <c r="C9" i="2"/>
  <c r="D11" i="2"/>
  <c r="E11" i="2"/>
  <c r="B11" i="2"/>
  <c r="L11" i="2" s="1"/>
  <c r="C11" i="2"/>
  <c r="D13" i="2"/>
  <c r="B13" i="2"/>
  <c r="L13" i="2" s="1"/>
  <c r="C13" i="2"/>
  <c r="E13" i="2"/>
  <c r="D14" i="2"/>
  <c r="E14" i="2"/>
  <c r="L14" i="2"/>
  <c r="C14" i="2"/>
  <c r="D15" i="2"/>
  <c r="B15" i="2"/>
  <c r="L15" i="2" s="1"/>
  <c r="C15" i="2"/>
  <c r="E15" i="2"/>
  <c r="D16" i="2"/>
  <c r="E16" i="2"/>
  <c r="B16" i="2"/>
  <c r="L16" i="2" s="1"/>
  <c r="C16" i="2"/>
  <c r="D17" i="2"/>
  <c r="B17" i="2"/>
  <c r="E17" i="2"/>
  <c r="C17" i="2"/>
  <c r="L19" i="2"/>
  <c r="L20" i="2"/>
  <c r="E20" i="2"/>
  <c r="L21" i="2"/>
  <c r="E21" i="2"/>
  <c r="F7" i="8"/>
  <c r="G7" i="8"/>
  <c r="F8" i="8"/>
  <c r="G8" i="8"/>
  <c r="F9" i="8"/>
  <c r="G9" i="8"/>
  <c r="F10" i="8"/>
  <c r="G10" i="8"/>
  <c r="F11" i="8"/>
  <c r="G11" i="8"/>
  <c r="G13" i="8"/>
  <c r="F14" i="8"/>
  <c r="G14" i="8"/>
  <c r="F15" i="8"/>
  <c r="G15" i="8"/>
  <c r="F17" i="8"/>
  <c r="G17" i="8"/>
  <c r="F31" i="8"/>
  <c r="G31" i="8"/>
  <c r="H31" i="8"/>
  <c r="C9" i="11"/>
  <c r="D9" i="11"/>
  <c r="E9" i="11"/>
  <c r="B9" i="11"/>
  <c r="H8" i="11"/>
  <c r="H28" i="10"/>
  <c r="H32" i="10"/>
  <c r="M32" i="10" s="1"/>
  <c r="H34" i="10"/>
  <c r="H36" i="10"/>
  <c r="H7" i="10"/>
  <c r="H8" i="10"/>
  <c r="M8" i="10" s="1"/>
  <c r="M10" i="10"/>
  <c r="H18" i="10"/>
  <c r="M18" i="10" s="1"/>
  <c r="H11" i="8"/>
  <c r="M11" i="8" s="1"/>
  <c r="D31" i="7"/>
  <c r="F31" i="7" s="1"/>
  <c r="E31" i="7"/>
  <c r="B30" i="7"/>
  <c r="H44" i="3"/>
  <c r="M44" i="3" s="1"/>
  <c r="F46" i="8"/>
  <c r="G49" i="8"/>
  <c r="F27" i="8"/>
  <c r="G27" i="8"/>
  <c r="H27" i="8"/>
  <c r="F28" i="8"/>
  <c r="G28" i="8"/>
  <c r="H28" i="8"/>
  <c r="F29" i="8"/>
  <c r="G29" i="8"/>
  <c r="H29" i="8"/>
  <c r="M29" i="8" s="1"/>
  <c r="F32" i="8"/>
  <c r="G32" i="8"/>
  <c r="H32" i="8"/>
  <c r="M32" i="8" s="1"/>
  <c r="F33" i="8"/>
  <c r="G33" i="8"/>
  <c r="H33" i="8"/>
  <c r="M33" i="8" s="1"/>
  <c r="G36" i="8"/>
  <c r="H36" i="8"/>
  <c r="M36" i="8" s="1"/>
  <c r="H8" i="8"/>
  <c r="H9" i="8"/>
  <c r="H10" i="8"/>
  <c r="M10" i="8" s="1"/>
  <c r="H13" i="8"/>
  <c r="M13" i="8" s="1"/>
  <c r="H14" i="8"/>
  <c r="M14" i="8" s="1"/>
  <c r="H15" i="8"/>
  <c r="M15" i="8" s="1"/>
  <c r="H17" i="8"/>
  <c r="M17" i="8" s="1"/>
  <c r="B37" i="8"/>
  <c r="L37" i="8" s="1"/>
  <c r="B18" i="8"/>
  <c r="L18" i="8" s="1"/>
  <c r="E37" i="8"/>
  <c r="D37" i="8"/>
  <c r="C37" i="8"/>
  <c r="H26" i="8"/>
  <c r="M26" i="8" s="1"/>
  <c r="G26" i="8"/>
  <c r="F26" i="8"/>
  <c r="D18" i="8"/>
  <c r="C18" i="8"/>
  <c r="H7" i="8"/>
  <c r="M7" i="8" s="1"/>
  <c r="A48" i="3"/>
  <c r="A25" i="3"/>
  <c r="H19" i="3"/>
  <c r="M19" i="3" s="1"/>
  <c r="G54" i="3"/>
  <c r="G67" i="3"/>
  <c r="E45" i="3"/>
  <c r="C45" i="3"/>
  <c r="D45" i="3"/>
  <c r="B45" i="3"/>
  <c r="L45" i="3" s="1"/>
  <c r="C22" i="3"/>
  <c r="D22" i="3"/>
  <c r="E22" i="3"/>
  <c r="B22" i="3"/>
  <c r="L22" i="3" s="1"/>
  <c r="G44" i="3"/>
  <c r="F44" i="3"/>
  <c r="G59" i="3"/>
  <c r="G30" i="3"/>
  <c r="G31" i="3"/>
  <c r="H31" i="3"/>
  <c r="M31" i="3" s="1"/>
  <c r="F32" i="3"/>
  <c r="G32" i="3"/>
  <c r="H32" i="3"/>
  <c r="M32" i="3" s="1"/>
  <c r="F33" i="3"/>
  <c r="G33" i="3"/>
  <c r="H33" i="3"/>
  <c r="G34" i="3"/>
  <c r="H34" i="3"/>
  <c r="M34" i="3" s="1"/>
  <c r="F35" i="3"/>
  <c r="G35" i="3"/>
  <c r="H35" i="3"/>
  <c r="M35" i="3" s="1"/>
  <c r="F36" i="3"/>
  <c r="G36" i="3"/>
  <c r="H36" i="3"/>
  <c r="F37" i="3"/>
  <c r="G37" i="3"/>
  <c r="M37" i="3"/>
  <c r="F38" i="3"/>
  <c r="G38" i="3"/>
  <c r="H38" i="3"/>
  <c r="F39" i="3"/>
  <c r="G39" i="3"/>
  <c r="H39" i="3"/>
  <c r="M39" i="3" s="1"/>
  <c r="F40" i="3"/>
  <c r="G40" i="3"/>
  <c r="H40" i="3"/>
  <c r="M40" i="3" s="1"/>
  <c r="F41" i="3"/>
  <c r="G41" i="3"/>
  <c r="H41" i="3"/>
  <c r="M41" i="3" s="1"/>
  <c r="G42" i="3"/>
  <c r="M42" i="3"/>
  <c r="F7" i="3"/>
  <c r="G7" i="3"/>
  <c r="H7" i="3"/>
  <c r="M7" i="3" s="1"/>
  <c r="F8" i="3"/>
  <c r="G8" i="3"/>
  <c r="H8" i="3"/>
  <c r="M8" i="3" s="1"/>
  <c r="F9" i="3"/>
  <c r="G9" i="3"/>
  <c r="H9" i="3"/>
  <c r="M9" i="3" s="1"/>
  <c r="F10" i="3"/>
  <c r="G10" i="3"/>
  <c r="H10" i="3"/>
  <c r="F11" i="3"/>
  <c r="G11" i="3"/>
  <c r="H11" i="3"/>
  <c r="M11" i="3" s="1"/>
  <c r="F12" i="3"/>
  <c r="G12" i="3"/>
  <c r="H12" i="3"/>
  <c r="M12" i="3" s="1"/>
  <c r="G13" i="3"/>
  <c r="H13" i="3"/>
  <c r="G14" i="3"/>
  <c r="M14" i="3"/>
  <c r="F15" i="3"/>
  <c r="G15" i="3"/>
  <c r="H15" i="3"/>
  <c r="M15" i="3" s="1"/>
  <c r="F16" i="3"/>
  <c r="G16" i="3"/>
  <c r="H16" i="3"/>
  <c r="M16" i="3" s="1"/>
  <c r="F17" i="3"/>
  <c r="G17" i="3"/>
  <c r="H17" i="3"/>
  <c r="F18" i="3"/>
  <c r="G18" i="3"/>
  <c r="H18" i="3"/>
  <c r="M18" i="3" s="1"/>
  <c r="F19" i="3"/>
  <c r="G19" i="3"/>
  <c r="F20" i="3"/>
  <c r="G20" i="3"/>
  <c r="H20" i="3"/>
  <c r="M20" i="3" s="1"/>
  <c r="F21" i="3"/>
  <c r="G21" i="3"/>
  <c r="H21" i="3"/>
  <c r="M21" i="3" s="1"/>
  <c r="D10" i="7"/>
  <c r="F10" i="7" s="1"/>
  <c r="E10" i="7"/>
  <c r="G10" i="7" s="1"/>
  <c r="B10" i="7"/>
  <c r="F18" i="7"/>
  <c r="F19" i="7"/>
  <c r="F20" i="7"/>
  <c r="D30" i="7"/>
  <c r="F30" i="7" s="1"/>
  <c r="E30" i="7"/>
  <c r="G30" i="7" s="1"/>
  <c r="C30" i="7"/>
  <c r="G31" i="7"/>
  <c r="G19" i="7"/>
  <c r="H19" i="7"/>
  <c r="G20" i="7"/>
  <c r="H20" i="7"/>
  <c r="G8" i="7"/>
  <c r="H8" i="7"/>
  <c r="G9" i="7"/>
  <c r="H9" i="7"/>
  <c r="B29" i="7"/>
  <c r="B31" i="7"/>
  <c r="B21" i="7"/>
  <c r="D29" i="7"/>
  <c r="D32" i="7" s="1"/>
  <c r="E29" i="7"/>
  <c r="C31" i="7"/>
  <c r="C29" i="7"/>
  <c r="D21" i="7"/>
  <c r="F21" i="7" s="1"/>
  <c r="E21" i="7"/>
  <c r="C21" i="7"/>
  <c r="H18" i="7"/>
  <c r="G18" i="7"/>
  <c r="C10" i="7"/>
  <c r="H7" i="7"/>
  <c r="G7" i="7"/>
  <c r="F7" i="7"/>
  <c r="F8" i="11"/>
  <c r="G8" i="11"/>
  <c r="H7" i="11"/>
  <c r="G9" i="11"/>
  <c r="G7" i="11"/>
  <c r="F7" i="11"/>
  <c r="A2" i="11"/>
  <c r="A9" i="11"/>
  <c r="H28" i="5"/>
  <c r="G28" i="5"/>
  <c r="F28" i="5"/>
  <c r="G9" i="5"/>
  <c r="F9" i="5"/>
  <c r="C37" i="5"/>
  <c r="D37" i="5"/>
  <c r="E37" i="5"/>
  <c r="B37" i="5"/>
  <c r="L37" i="5" s="1"/>
  <c r="C18" i="5"/>
  <c r="L18" i="5"/>
  <c r="F50" i="5"/>
  <c r="F52" i="5"/>
  <c r="F27" i="5"/>
  <c r="G27" i="5"/>
  <c r="H27" i="5"/>
  <c r="M27" i="5" s="1"/>
  <c r="F29" i="5"/>
  <c r="H29" i="5"/>
  <c r="M29" i="5" s="1"/>
  <c r="F30" i="5"/>
  <c r="G30" i="5"/>
  <c r="H30" i="5"/>
  <c r="F31" i="5"/>
  <c r="G31" i="5"/>
  <c r="H31" i="5"/>
  <c r="F32" i="5"/>
  <c r="G32" i="5"/>
  <c r="H32" i="5"/>
  <c r="M32" i="5" s="1"/>
  <c r="F33" i="5"/>
  <c r="G33" i="5"/>
  <c r="H33" i="5"/>
  <c r="F34" i="5"/>
  <c r="G34" i="5"/>
  <c r="H34" i="5"/>
  <c r="M34" i="5" s="1"/>
  <c r="F35" i="5"/>
  <c r="G35" i="5"/>
  <c r="H35" i="5"/>
  <c r="M35" i="5" s="1"/>
  <c r="F36" i="5"/>
  <c r="G36" i="5"/>
  <c r="H36" i="5"/>
  <c r="M36" i="5" s="1"/>
  <c r="F8" i="5"/>
  <c r="G8" i="5"/>
  <c r="M8" i="5"/>
  <c r="F11" i="5"/>
  <c r="F12" i="5"/>
  <c r="F14" i="5"/>
  <c r="G14" i="5"/>
  <c r="H14" i="5"/>
  <c r="M15" i="5"/>
  <c r="F17" i="5"/>
  <c r="G17" i="5"/>
  <c r="H17" i="5"/>
  <c r="M17" i="5" s="1"/>
  <c r="H26" i="5"/>
  <c r="G26" i="5"/>
  <c r="F26" i="5"/>
  <c r="F45" i="5"/>
  <c r="F7" i="5"/>
  <c r="A40" i="5"/>
  <c r="A21" i="5"/>
  <c r="A2" i="5"/>
  <c r="H13" i="10"/>
  <c r="F13" i="10"/>
  <c r="H17" i="10"/>
  <c r="M17" i="10" s="1"/>
  <c r="C19" i="10"/>
  <c r="D19" i="10"/>
  <c r="E19" i="10"/>
  <c r="B19" i="10"/>
  <c r="L19" i="10" s="1"/>
  <c r="G38" i="10"/>
  <c r="G18" i="10"/>
  <c r="F18" i="10"/>
  <c r="F8" i="10"/>
  <c r="G49" i="10"/>
  <c r="G54" i="10"/>
  <c r="G28" i="10"/>
  <c r="G29" i="10"/>
  <c r="H29" i="10"/>
  <c r="G30" i="10"/>
  <c r="H30" i="10"/>
  <c r="G31" i="10"/>
  <c r="H31" i="10"/>
  <c r="G32" i="10"/>
  <c r="G34" i="10"/>
  <c r="G36" i="10"/>
  <c r="G37" i="10"/>
  <c r="G8" i="10"/>
  <c r="F9" i="10"/>
  <c r="G9" i="10"/>
  <c r="H9" i="10"/>
  <c r="F10" i="10"/>
  <c r="G10" i="10"/>
  <c r="F11" i="10"/>
  <c r="G11" i="10"/>
  <c r="H11" i="10"/>
  <c r="G12" i="10"/>
  <c r="H12" i="10"/>
  <c r="M12" i="10" s="1"/>
  <c r="F14" i="10"/>
  <c r="G14" i="10"/>
  <c r="H14" i="10"/>
  <c r="F15" i="10"/>
  <c r="G15" i="10"/>
  <c r="H15" i="10"/>
  <c r="M15" i="10" s="1"/>
  <c r="F16" i="10"/>
  <c r="G16" i="10"/>
  <c r="H16" i="10"/>
  <c r="F17" i="10"/>
  <c r="G17" i="10"/>
  <c r="G27" i="10"/>
  <c r="G7" i="10"/>
  <c r="F7" i="10"/>
  <c r="A22" i="10"/>
  <c r="A2" i="10"/>
  <c r="A42" i="10"/>
  <c r="F36" i="6"/>
  <c r="G37" i="6"/>
  <c r="F38" i="6"/>
  <c r="G39" i="6"/>
  <c r="F22" i="6"/>
  <c r="G22" i="6"/>
  <c r="H22" i="6"/>
  <c r="M22" i="6" s="1"/>
  <c r="F23" i="6"/>
  <c r="G23" i="6"/>
  <c r="H23" i="6"/>
  <c r="F24" i="6"/>
  <c r="G24" i="6"/>
  <c r="H24" i="6"/>
  <c r="G25" i="6"/>
  <c r="H25" i="6"/>
  <c r="M25" i="6" s="1"/>
  <c r="G26" i="6"/>
  <c r="H26" i="6"/>
  <c r="M26" i="6" s="1"/>
  <c r="F8" i="6"/>
  <c r="G8" i="6"/>
  <c r="H8" i="6"/>
  <c r="F9" i="6"/>
  <c r="G9" i="6"/>
  <c r="H9" i="6"/>
  <c r="F10" i="6"/>
  <c r="G10" i="6"/>
  <c r="H10" i="6"/>
  <c r="F11" i="6"/>
  <c r="G11" i="6"/>
  <c r="H11" i="6"/>
  <c r="M11" i="6" s="1"/>
  <c r="F12" i="6"/>
  <c r="G12" i="6"/>
  <c r="H12" i="6"/>
  <c r="M12" i="6" s="1"/>
  <c r="C27" i="6"/>
  <c r="E27" i="6"/>
  <c r="D27" i="6"/>
  <c r="G21" i="6"/>
  <c r="H21" i="6"/>
  <c r="M21" i="6" s="1"/>
  <c r="F21" i="6"/>
  <c r="B13" i="6"/>
  <c r="D13" i="6"/>
  <c r="C13" i="6"/>
  <c r="C20" i="2" s="1"/>
  <c r="E13" i="6"/>
  <c r="H7" i="6"/>
  <c r="G7" i="6"/>
  <c r="F7" i="6"/>
  <c r="A2" i="6"/>
  <c r="A16" i="6"/>
  <c r="A30" i="6"/>
  <c r="H38" i="4"/>
  <c r="M38" i="4" s="1"/>
  <c r="C41" i="4"/>
  <c r="D41" i="4"/>
  <c r="E41" i="4"/>
  <c r="B41" i="4"/>
  <c r="L41" i="4" s="1"/>
  <c r="C20" i="4"/>
  <c r="D20" i="4"/>
  <c r="E20" i="4"/>
  <c r="B20" i="4"/>
  <c r="L20" i="4" s="1"/>
  <c r="F28" i="4"/>
  <c r="G28" i="4"/>
  <c r="H28" i="4"/>
  <c r="M28" i="4" s="1"/>
  <c r="F29" i="4"/>
  <c r="G29" i="4"/>
  <c r="H29" i="4"/>
  <c r="M29" i="4" s="1"/>
  <c r="F30" i="4"/>
  <c r="G30" i="4"/>
  <c r="H30" i="4"/>
  <c r="M30" i="4" s="1"/>
  <c r="F31" i="4"/>
  <c r="G31" i="4"/>
  <c r="H31" i="4"/>
  <c r="M31" i="4" s="1"/>
  <c r="F32" i="4"/>
  <c r="G32" i="4"/>
  <c r="H32" i="4"/>
  <c r="M32" i="4" s="1"/>
  <c r="F33" i="4"/>
  <c r="G33" i="4"/>
  <c r="H33" i="4"/>
  <c r="M33" i="4" s="1"/>
  <c r="F34" i="4"/>
  <c r="G34" i="4"/>
  <c r="H34" i="4"/>
  <c r="M34" i="4" s="1"/>
  <c r="G35" i="4"/>
  <c r="H35" i="4"/>
  <c r="M35" i="4" s="1"/>
  <c r="F36" i="4"/>
  <c r="G36" i="4"/>
  <c r="H36" i="4"/>
  <c r="M36" i="4" s="1"/>
  <c r="F37" i="4"/>
  <c r="G37" i="4"/>
  <c r="H37" i="4"/>
  <c r="G38" i="4"/>
  <c r="F39" i="4"/>
  <c r="G39" i="4"/>
  <c r="H39" i="4"/>
  <c r="M39" i="4" s="1"/>
  <c r="F40" i="4"/>
  <c r="G40" i="4"/>
  <c r="H40" i="4"/>
  <c r="M40" i="4" s="1"/>
  <c r="F7" i="4"/>
  <c r="G7" i="4"/>
  <c r="H7" i="4"/>
  <c r="M7" i="4" s="1"/>
  <c r="F8" i="4"/>
  <c r="G8" i="4"/>
  <c r="H8" i="4"/>
  <c r="M8" i="4" s="1"/>
  <c r="F9" i="4"/>
  <c r="G9" i="4"/>
  <c r="F10" i="4"/>
  <c r="G10" i="4"/>
  <c r="H10" i="4"/>
  <c r="F11" i="4"/>
  <c r="G11" i="4"/>
  <c r="H11" i="4"/>
  <c r="M11" i="4" s="1"/>
  <c r="F12" i="4"/>
  <c r="G12" i="4"/>
  <c r="H12" i="4"/>
  <c r="M12" i="4" s="1"/>
  <c r="F13" i="4"/>
  <c r="G13" i="4"/>
  <c r="H13" i="4"/>
  <c r="M13" i="4" s="1"/>
  <c r="F14" i="4"/>
  <c r="G14" i="4"/>
  <c r="H14" i="4"/>
  <c r="M14" i="4" s="1"/>
  <c r="M16" i="4"/>
  <c r="M17" i="4"/>
  <c r="M18" i="4"/>
  <c r="M19" i="4"/>
  <c r="A23" i="4"/>
  <c r="A2" i="4"/>
  <c r="A44" i="4"/>
  <c r="A48" i="2"/>
  <c r="A25" i="2"/>
  <c r="A2" i="2"/>
  <c r="L44" i="2" l="1"/>
  <c r="L41" i="2"/>
  <c r="B64" i="2"/>
  <c r="L64" i="2" s="1"/>
  <c r="C21" i="2"/>
  <c r="G21" i="2" s="1"/>
  <c r="F57" i="10"/>
  <c r="H9" i="11"/>
  <c r="F50" i="10"/>
  <c r="F52" i="10"/>
  <c r="L52" i="10"/>
  <c r="D57" i="2"/>
  <c r="C55" i="2"/>
  <c r="C57" i="2"/>
  <c r="E57" i="2"/>
  <c r="D55" i="2"/>
  <c r="F55" i="10"/>
  <c r="H57" i="10"/>
  <c r="M57" i="10" s="1"/>
  <c r="F58" i="10"/>
  <c r="H50" i="10"/>
  <c r="M50" i="10" s="1"/>
  <c r="H54" i="10"/>
  <c r="G9" i="2"/>
  <c r="E55" i="2"/>
  <c r="G55" i="2" s="1"/>
  <c r="G10" i="2"/>
  <c r="E56" i="2"/>
  <c r="G56" i="2" s="1"/>
  <c r="D56" i="2"/>
  <c r="C56" i="2"/>
  <c r="B55" i="2"/>
  <c r="L55" i="2" s="1"/>
  <c r="B57" i="2"/>
  <c r="L57" i="2" s="1"/>
  <c r="B56" i="2"/>
  <c r="L56" i="2" s="1"/>
  <c r="H51" i="10"/>
  <c r="H53" i="10"/>
  <c r="H56" i="10"/>
  <c r="H49" i="5"/>
  <c r="F53" i="8"/>
  <c r="F48" i="8"/>
  <c r="H46" i="8"/>
  <c r="G50" i="8"/>
  <c r="G48" i="8"/>
  <c r="G51" i="8"/>
  <c r="F39" i="6"/>
  <c r="F40" i="6"/>
  <c r="E56" i="5"/>
  <c r="F51" i="10"/>
  <c r="G56" i="10"/>
  <c r="H30" i="7"/>
  <c r="E32" i="7"/>
  <c r="G32" i="7" s="1"/>
  <c r="G29" i="7"/>
  <c r="B32" i="7"/>
  <c r="H36" i="6"/>
  <c r="M36" i="6" s="1"/>
  <c r="G40" i="6"/>
  <c r="H38" i="6"/>
  <c r="G45" i="5"/>
  <c r="F49" i="5"/>
  <c r="F58" i="3"/>
  <c r="C60" i="2"/>
  <c r="F9" i="11"/>
  <c r="G45" i="8"/>
  <c r="D41" i="6"/>
  <c r="M60" i="3"/>
  <c r="F35" i="6"/>
  <c r="C41" i="6"/>
  <c r="F52" i="8"/>
  <c r="F29" i="7"/>
  <c r="H10" i="7"/>
  <c r="F37" i="6"/>
  <c r="H37" i="6"/>
  <c r="H35" i="6"/>
  <c r="M35" i="6" s="1"/>
  <c r="G14" i="2"/>
  <c r="G27" i="6"/>
  <c r="F50" i="8"/>
  <c r="B56" i="8"/>
  <c r="L56" i="8" s="1"/>
  <c r="L42" i="2"/>
  <c r="G53" i="8"/>
  <c r="F45" i="8"/>
  <c r="G48" i="5"/>
  <c r="C32" i="7"/>
  <c r="H31" i="7"/>
  <c r="F27" i="6"/>
  <c r="B59" i="10"/>
  <c r="L59" i="10" s="1"/>
  <c r="G53" i="5"/>
  <c r="H29" i="7"/>
  <c r="G21" i="7"/>
  <c r="H50" i="8"/>
  <c r="M50" i="8" s="1"/>
  <c r="G19" i="10"/>
  <c r="G39" i="10"/>
  <c r="H55" i="10"/>
  <c r="M55" i="10" s="1"/>
  <c r="F63" i="3"/>
  <c r="G18" i="5"/>
  <c r="H40" i="6"/>
  <c r="M40" i="6" s="1"/>
  <c r="B41" i="6"/>
  <c r="L41" i="6" s="1"/>
  <c r="G13" i="2"/>
  <c r="F51" i="5"/>
  <c r="H49" i="10"/>
  <c r="G55" i="10"/>
  <c r="H45" i="8"/>
  <c r="M45" i="8" s="1"/>
  <c r="H47" i="8"/>
  <c r="H32" i="7"/>
  <c r="H39" i="6"/>
  <c r="M39" i="6" s="1"/>
  <c r="E41" i="6"/>
  <c r="H52" i="5"/>
  <c r="H51" i="5"/>
  <c r="M51" i="5" s="1"/>
  <c r="H45" i="5"/>
  <c r="C56" i="5"/>
  <c r="G52" i="5"/>
  <c r="H47" i="5"/>
  <c r="G51" i="5"/>
  <c r="H48" i="5"/>
  <c r="M48" i="5" s="1"/>
  <c r="H46" i="5"/>
  <c r="M46" i="5" s="1"/>
  <c r="D18" i="5"/>
  <c r="F18" i="5" s="1"/>
  <c r="M16" i="5"/>
  <c r="H27" i="6"/>
  <c r="M27" i="6" s="1"/>
  <c r="F46" i="5"/>
  <c r="H49" i="8"/>
  <c r="M49" i="8" s="1"/>
  <c r="F55" i="3"/>
  <c r="D62" i="4"/>
  <c r="H53" i="5"/>
  <c r="M53" i="5" s="1"/>
  <c r="F53" i="5"/>
  <c r="H37" i="5"/>
  <c r="M37" i="5" s="1"/>
  <c r="H50" i="5"/>
  <c r="F37" i="5"/>
  <c r="H53" i="8"/>
  <c r="M53" i="8" s="1"/>
  <c r="F41" i="4"/>
  <c r="H51" i="8"/>
  <c r="M51" i="8" s="1"/>
  <c r="H39" i="10"/>
  <c r="M39" i="10" s="1"/>
  <c r="F32" i="7"/>
  <c r="H21" i="7"/>
  <c r="G36" i="2"/>
  <c r="G55" i="8"/>
  <c r="H55" i="8"/>
  <c r="M55" i="8" s="1"/>
  <c r="F37" i="8"/>
  <c r="G41" i="4"/>
  <c r="G37" i="8"/>
  <c r="H49" i="4"/>
  <c r="M49" i="4" s="1"/>
  <c r="H37" i="8"/>
  <c r="M37" i="8" s="1"/>
  <c r="F45" i="3"/>
  <c r="H58" i="10"/>
  <c r="M58" i="10" s="1"/>
  <c r="E62" i="4"/>
  <c r="F49" i="8"/>
  <c r="G13" i="6"/>
  <c r="G22" i="3"/>
  <c r="H19" i="10"/>
  <c r="M19" i="10" s="1"/>
  <c r="F19" i="10"/>
  <c r="G20" i="4"/>
  <c r="C62" i="4"/>
  <c r="H47" i="10"/>
  <c r="E56" i="8"/>
  <c r="H20" i="4"/>
  <c r="M20" i="4" s="1"/>
  <c r="G18" i="8"/>
  <c r="C56" i="8"/>
  <c r="F20" i="4"/>
  <c r="H18" i="8"/>
  <c r="M18" i="8" s="1"/>
  <c r="F18" i="8"/>
  <c r="H52" i="8"/>
  <c r="M52" i="8" s="1"/>
  <c r="F62" i="3"/>
  <c r="H13" i="6"/>
  <c r="E59" i="10"/>
  <c r="C59" i="10"/>
  <c r="F39" i="10"/>
  <c r="F47" i="10"/>
  <c r="F48" i="10"/>
  <c r="D59" i="10"/>
  <c r="H52" i="10"/>
  <c r="M52" i="10" s="1"/>
  <c r="H48" i="10"/>
  <c r="M48" i="10" s="1"/>
  <c r="G50" i="10"/>
  <c r="D56" i="8"/>
  <c r="G52" i="8"/>
  <c r="F51" i="8"/>
  <c r="H48" i="8"/>
  <c r="M48" i="8" s="1"/>
  <c r="F47" i="8"/>
  <c r="F13" i="6"/>
  <c r="E67" i="2"/>
  <c r="G49" i="4"/>
  <c r="H41" i="4"/>
  <c r="M41" i="4" s="1"/>
  <c r="E64" i="2"/>
  <c r="G45" i="3"/>
  <c r="F56" i="3"/>
  <c r="H56" i="3"/>
  <c r="G19" i="2"/>
  <c r="G58" i="3"/>
  <c r="G38" i="2"/>
  <c r="F54" i="3"/>
  <c r="F57" i="3"/>
  <c r="H64" i="3"/>
  <c r="M64" i="3" s="1"/>
  <c r="L68" i="3"/>
  <c r="H67" i="3"/>
  <c r="M67" i="3" s="1"/>
  <c r="H63" i="3"/>
  <c r="M63" i="3" s="1"/>
  <c r="H55" i="3"/>
  <c r="M55" i="3" s="1"/>
  <c r="H22" i="3"/>
  <c r="M22" i="3" s="1"/>
  <c r="H45" i="3"/>
  <c r="M45" i="3" s="1"/>
  <c r="G56" i="3"/>
  <c r="H58" i="3"/>
  <c r="M58" i="3" s="1"/>
  <c r="E60" i="2"/>
  <c r="G60" i="2" s="1"/>
  <c r="F22" i="3"/>
  <c r="M66" i="3"/>
  <c r="H59" i="3"/>
  <c r="F64" i="3"/>
  <c r="F67" i="3"/>
  <c r="H62" i="3"/>
  <c r="M62" i="3" s="1"/>
  <c r="H54" i="3"/>
  <c r="M54" i="3" s="1"/>
  <c r="F59" i="3"/>
  <c r="F61" i="3"/>
  <c r="H43" i="2"/>
  <c r="M43" i="2" s="1"/>
  <c r="M65" i="3"/>
  <c r="H61" i="3"/>
  <c r="M61" i="3" s="1"/>
  <c r="H57" i="3"/>
  <c r="M57" i="3" s="1"/>
  <c r="H53" i="3"/>
  <c r="M53" i="3" s="1"/>
  <c r="G15" i="2"/>
  <c r="G12" i="2"/>
  <c r="D64" i="2"/>
  <c r="D63" i="2"/>
  <c r="C62" i="2"/>
  <c r="H16" i="2"/>
  <c r="M16" i="2" s="1"/>
  <c r="H7" i="2"/>
  <c r="M7" i="2" s="1"/>
  <c r="G37" i="2"/>
  <c r="F34" i="2"/>
  <c r="B22" i="2"/>
  <c r="L22" i="2" s="1"/>
  <c r="F7" i="2"/>
  <c r="F37" i="2"/>
  <c r="F33" i="2"/>
  <c r="G40" i="2"/>
  <c r="C65" i="2"/>
  <c r="G65" i="2" s="1"/>
  <c r="C59" i="2"/>
  <c r="E45" i="2"/>
  <c r="G43" i="2"/>
  <c r="F13" i="2"/>
  <c r="G39" i="2"/>
  <c r="E22" i="2"/>
  <c r="H11" i="2"/>
  <c r="M11" i="2" s="1"/>
  <c r="F38" i="2"/>
  <c r="H39" i="2"/>
  <c r="M39" i="2" s="1"/>
  <c r="G41" i="2"/>
  <c r="H12" i="2"/>
  <c r="M12" i="2" s="1"/>
  <c r="H34" i="2"/>
  <c r="M34" i="2" s="1"/>
  <c r="G31" i="2"/>
  <c r="F36" i="2"/>
  <c r="D66" i="2"/>
  <c r="H17" i="2"/>
  <c r="D62" i="2"/>
  <c r="F9" i="2"/>
  <c r="F39" i="2"/>
  <c r="G44" i="2"/>
  <c r="H37" i="2"/>
  <c r="M37" i="2" s="1"/>
  <c r="F41" i="2"/>
  <c r="F32" i="2"/>
  <c r="H40" i="2"/>
  <c r="E63" i="2"/>
  <c r="H32" i="2"/>
  <c r="M32" i="2" s="1"/>
  <c r="H44" i="2"/>
  <c r="M44" i="2" s="1"/>
  <c r="D59" i="2"/>
  <c r="G30" i="2"/>
  <c r="H36" i="2"/>
  <c r="M36" i="2" s="1"/>
  <c r="C66" i="2"/>
  <c r="C64" i="2"/>
  <c r="H15" i="2"/>
  <c r="M15" i="2" s="1"/>
  <c r="H13" i="2"/>
  <c r="M13" i="2" s="1"/>
  <c r="F12" i="2"/>
  <c r="H10" i="2"/>
  <c r="D60" i="2"/>
  <c r="B63" i="2"/>
  <c r="L63" i="2" s="1"/>
  <c r="B59" i="2"/>
  <c r="L59" i="2" s="1"/>
  <c r="H38" i="2"/>
  <c r="M38" i="2" s="1"/>
  <c r="G35" i="2"/>
  <c r="H31" i="2"/>
  <c r="M31" i="2" s="1"/>
  <c r="G11" i="2"/>
  <c r="B66" i="2"/>
  <c r="F17" i="2"/>
  <c r="E62" i="2"/>
  <c r="F15" i="2"/>
  <c r="F11" i="2"/>
  <c r="G17" i="2"/>
  <c r="G7" i="2"/>
  <c r="H20" i="2"/>
  <c r="M20" i="2" s="1"/>
  <c r="B62" i="2"/>
  <c r="L62" i="2" s="1"/>
  <c r="C61" i="2"/>
  <c r="B60" i="2"/>
  <c r="L60" i="2" s="1"/>
  <c r="H9" i="2"/>
  <c r="M9" i="2" s="1"/>
  <c r="F44" i="2"/>
  <c r="F35" i="2"/>
  <c r="F30" i="2"/>
  <c r="H35" i="2"/>
  <c r="M35" i="2" s="1"/>
  <c r="H30" i="2"/>
  <c r="M30" i="2" s="1"/>
  <c r="H33" i="2"/>
  <c r="B61" i="2"/>
  <c r="L61" i="2" s="1"/>
  <c r="E61" i="2"/>
  <c r="E59" i="2"/>
  <c r="D61" i="2"/>
  <c r="C63" i="2"/>
  <c r="F43" i="2"/>
  <c r="F16" i="2"/>
  <c r="F14" i="2"/>
  <c r="F10" i="2"/>
  <c r="F40" i="2"/>
  <c r="F31" i="2"/>
  <c r="G42" i="2"/>
  <c r="H41" i="2"/>
  <c r="M41" i="2" s="1"/>
  <c r="C45" i="2"/>
  <c r="G20" i="2"/>
  <c r="G16" i="2"/>
  <c r="H14" i="2"/>
  <c r="M14" i="2" s="1"/>
  <c r="E66" i="2"/>
  <c r="L66" i="2" l="1"/>
  <c r="B68" i="2"/>
  <c r="L67" i="2"/>
  <c r="G41" i="6"/>
  <c r="C22" i="2"/>
  <c r="C67" i="2"/>
  <c r="G67" i="2" s="1"/>
  <c r="D21" i="2"/>
  <c r="D22" i="2" s="1"/>
  <c r="G54" i="2"/>
  <c r="G56" i="5"/>
  <c r="D65" i="2"/>
  <c r="H42" i="2"/>
  <c r="M42" i="2" s="1"/>
  <c r="F56" i="2"/>
  <c r="D45" i="2"/>
  <c r="F54" i="8"/>
  <c r="H54" i="8"/>
  <c r="M54" i="8" s="1"/>
  <c r="B45" i="2"/>
  <c r="D56" i="5"/>
  <c r="H55" i="5"/>
  <c r="M55" i="5" s="1"/>
  <c r="H41" i="6"/>
  <c r="M41" i="6" s="1"/>
  <c r="F41" i="6"/>
  <c r="F62" i="4"/>
  <c r="G59" i="10"/>
  <c r="H56" i="2"/>
  <c r="M56" i="2" s="1"/>
  <c r="F54" i="5"/>
  <c r="H54" i="5"/>
  <c r="M54" i="5" s="1"/>
  <c r="B56" i="5"/>
  <c r="L56" i="5" s="1"/>
  <c r="H19" i="2"/>
  <c r="M19" i="2" s="1"/>
  <c r="F19" i="2"/>
  <c r="H18" i="5"/>
  <c r="M18" i="5" s="1"/>
  <c r="G59" i="2"/>
  <c r="G68" i="3"/>
  <c r="G45" i="2"/>
  <c r="G62" i="4"/>
  <c r="H62" i="4"/>
  <c r="M62" i="4" s="1"/>
  <c r="G56" i="8"/>
  <c r="F60" i="2"/>
  <c r="F56" i="8"/>
  <c r="G64" i="2"/>
  <c r="G22" i="2"/>
  <c r="G62" i="2"/>
  <c r="F66" i="2"/>
  <c r="H59" i="10"/>
  <c r="M59" i="10" s="1"/>
  <c r="F59" i="10"/>
  <c r="H56" i="8"/>
  <c r="M56" i="8" s="1"/>
  <c r="F61" i="2"/>
  <c r="F58" i="2"/>
  <c r="H59" i="2"/>
  <c r="M59" i="2" s="1"/>
  <c r="G58" i="2"/>
  <c r="H68" i="3"/>
  <c r="M68" i="3" s="1"/>
  <c r="F68" i="3"/>
  <c r="H55" i="2"/>
  <c r="M55" i="2" s="1"/>
  <c r="F55" i="2"/>
  <c r="G61" i="2"/>
  <c r="F57" i="2"/>
  <c r="H62" i="2"/>
  <c r="M62" i="2" s="1"/>
  <c r="H60" i="2"/>
  <c r="M60" i="2" s="1"/>
  <c r="F63" i="2"/>
  <c r="F59" i="2"/>
  <c r="H54" i="2"/>
  <c r="M54" i="2" s="1"/>
  <c r="H64" i="2"/>
  <c r="M64" i="2" s="1"/>
  <c r="G53" i="2"/>
  <c r="F54" i="2"/>
  <c r="F64" i="2"/>
  <c r="H57" i="2"/>
  <c r="M57" i="2" s="1"/>
  <c r="F62" i="2"/>
  <c r="H58" i="2"/>
  <c r="M58" i="2" s="1"/>
  <c r="E68" i="2"/>
  <c r="G57" i="2"/>
  <c r="H53" i="2"/>
  <c r="M53" i="2" s="1"/>
  <c r="F53" i="2"/>
  <c r="H66" i="2"/>
  <c r="M66" i="2" s="1"/>
  <c r="G66" i="2"/>
  <c r="H63" i="2"/>
  <c r="M63" i="2" s="1"/>
  <c r="G63" i="2"/>
  <c r="H61" i="2"/>
  <c r="M61" i="2" s="1"/>
  <c r="H22" i="2" l="1"/>
  <c r="M22" i="2" s="1"/>
  <c r="L45" i="2"/>
  <c r="F45" i="2"/>
  <c r="L65" i="2"/>
  <c r="C68" i="2"/>
  <c r="G68" i="2" s="1"/>
  <c r="F21" i="2"/>
  <c r="H21" i="2"/>
  <c r="M21" i="2" s="1"/>
  <c r="D67" i="2"/>
  <c r="F67" i="2" s="1"/>
  <c r="H65" i="2"/>
  <c r="M65" i="2" s="1"/>
  <c r="F65" i="2"/>
  <c r="H45" i="2"/>
  <c r="M45" i="2" s="1"/>
  <c r="L68" i="2"/>
  <c r="F22" i="2"/>
  <c r="F56" i="5"/>
  <c r="H56" i="5"/>
  <c r="M56" i="5" s="1"/>
  <c r="D68" i="2" l="1"/>
  <c r="F68" i="2" s="1"/>
  <c r="H67" i="2"/>
  <c r="M67" i="2" s="1"/>
  <c r="H68" i="2" l="1"/>
  <c r="M68" i="2" s="1"/>
</calcChain>
</file>

<file path=xl/sharedStrings.xml><?xml version="1.0" encoding="utf-8"?>
<sst xmlns="http://schemas.openxmlformats.org/spreadsheetml/2006/main" count="951" uniqueCount="36">
  <si>
    <t xml:space="preserve">STATISTIKK </t>
  </si>
  <si>
    <t xml:space="preserve">FOR </t>
  </si>
  <si>
    <t>MÅLEVIRKSOMHETEN</t>
  </si>
  <si>
    <t>Passord dokumentbeskyttelse:&lt;Retur&gt;</t>
  </si>
  <si>
    <t>Målesum i kroner</t>
  </si>
  <si>
    <t>Timer</t>
  </si>
  <si>
    <t>Innmålt m/</t>
  </si>
  <si>
    <t>Bergen</t>
  </si>
  <si>
    <t>Glåmdal</t>
  </si>
  <si>
    <t>Haugesund</t>
  </si>
  <si>
    <t>Hamar og Omegn</t>
  </si>
  <si>
    <t>Nordland</t>
  </si>
  <si>
    <t>Sandnes</t>
  </si>
  <si>
    <t>Stavanger</t>
  </si>
  <si>
    <t>Telemark</t>
  </si>
  <si>
    <t>Tromsø</t>
  </si>
  <si>
    <t>Trondheim</t>
  </si>
  <si>
    <t>Vestfold</t>
  </si>
  <si>
    <t>Østfold</t>
  </si>
  <si>
    <t>Oslo</t>
  </si>
  <si>
    <t>Landet i alt</t>
  </si>
  <si>
    <t>Landet i alt 1. halvår</t>
  </si>
  <si>
    <t>Landet i alt 2. halvår</t>
  </si>
  <si>
    <t>* inklusive Buskerud</t>
  </si>
  <si>
    <t>NB: Alle timefortjenester er før eventuelt trekk av målegebyr</t>
  </si>
  <si>
    <t>Agder</t>
  </si>
  <si>
    <t>Drammen - Bærum</t>
  </si>
  <si>
    <t>Oslo*</t>
  </si>
  <si>
    <t>fortjeneste</t>
  </si>
  <si>
    <t>Endringer i %</t>
  </si>
  <si>
    <t>overskudd</t>
  </si>
  <si>
    <t>Gjen.snitt</t>
  </si>
  <si>
    <t>underskudd</t>
  </si>
  <si>
    <t>Gjennom-</t>
  </si>
  <si>
    <t>snitt</t>
  </si>
  <si>
    <t xml:space="preserve">Tromsø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</si>
</sst>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0.0\ %"/>
    <numFmt numFmtId="166" formatCode="_ * #,##0_ ;_ * \-#,##0_ ;_ * &quot;-&quot;??_ ;_ @_ "/>
    <numFmt numFmtId="167" formatCode="_(* #,##0.00_);_(* \(#,##0.00\);_(* \-??_);_(@_)"/>
    <numFmt numFmtId="168" formatCode="_(* #,##0_);_(* \(#,##0\);_(* &quot;-&quot;??_);_(@_)"/>
    <numFmt numFmtId="169" formatCode="#,##0.0"/>
  </numFmts>
  <fonts count="9" x14ac:knownFonts="1">
    <font>
      <sz val="12"/>
      <name val="Times New Roman"/>
    </font>
    <font>
      <b/>
      <sz val="12"/>
      <name val="Times New Roman"/>
    </font>
    <font>
      <sz val="12"/>
      <name val="Times New Roman"/>
    </font>
    <font>
      <b/>
      <sz val="24"/>
      <name val="Times New Roman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19"/>
      </right>
      <top/>
      <bottom style="thin">
        <color indexed="8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3" fontId="0" fillId="0" borderId="3" xfId="0" applyNumberFormat="1" applyBorder="1"/>
    <xf numFmtId="0" fontId="0" fillId="0" borderId="4" xfId="0" applyBorder="1" applyAlignment="1">
      <alignment horizontal="centerContinuous"/>
    </xf>
    <xf numFmtId="2" fontId="0" fillId="0" borderId="3" xfId="0" applyNumberFormat="1" applyBorder="1"/>
    <xf numFmtId="165" fontId="0" fillId="0" borderId="3" xfId="1" applyNumberFormat="1" applyFont="1" applyBorder="1"/>
    <xf numFmtId="3" fontId="1" fillId="0" borderId="3" xfId="0" applyNumberFormat="1" applyFont="1" applyBorder="1"/>
    <xf numFmtId="2" fontId="1" fillId="0" borderId="3" xfId="0" applyNumberFormat="1" applyFont="1" applyBorder="1"/>
    <xf numFmtId="165" fontId="1" fillId="0" borderId="3" xfId="1" applyNumberFormat="1" applyFont="1" applyBorder="1"/>
    <xf numFmtId="0" fontId="1" fillId="0" borderId="0" xfId="0" applyFont="1"/>
    <xf numFmtId="0" fontId="3" fillId="0" borderId="0" xfId="0" applyFont="1" applyAlignmen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3" xfId="0" applyNumberFormat="1" applyBorder="1" applyAlignment="1">
      <alignment horizontal="left"/>
    </xf>
    <xf numFmtId="3" fontId="1" fillId="0" borderId="3" xfId="0" applyNumberFormat="1" applyFont="1" applyBorder="1" applyAlignment="1">
      <alignment horizontal="left"/>
    </xf>
    <xf numFmtId="165" fontId="2" fillId="0" borderId="3" xfId="1" applyNumberFormat="1" applyBorder="1"/>
    <xf numFmtId="0" fontId="4" fillId="0" borderId="0" xfId="0" applyFont="1" applyAlignment="1">
      <alignment horizontal="left"/>
    </xf>
    <xf numFmtId="3" fontId="0" fillId="0" borderId="3" xfId="0" applyNumberFormat="1" applyBorder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3" fontId="1" fillId="0" borderId="3" xfId="0" applyNumberFormat="1" applyFont="1" applyBorder="1" applyProtection="1">
      <protection locked="0"/>
    </xf>
    <xf numFmtId="166" fontId="0" fillId="0" borderId="3" xfId="2" applyNumberFormat="1" applyFont="1" applyBorder="1"/>
    <xf numFmtId="166" fontId="1" fillId="0" borderId="3" xfId="2" applyNumberFormat="1" applyFont="1" applyBorder="1"/>
    <xf numFmtId="166" fontId="0" fillId="0" borderId="6" xfId="2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3" xfId="0" applyNumberFormat="1" applyFont="1" applyBorder="1" applyProtection="1">
      <protection locked="0"/>
    </xf>
    <xf numFmtId="3" fontId="5" fillId="0" borderId="3" xfId="0" applyNumberFormat="1" applyFont="1" applyBorder="1" applyAlignment="1">
      <alignment horizontal="left"/>
    </xf>
    <xf numFmtId="2" fontId="5" fillId="0" borderId="3" xfId="0" applyNumberFormat="1" applyFont="1" applyBorder="1"/>
    <xf numFmtId="165" fontId="5" fillId="0" borderId="3" xfId="1" applyNumberFormat="1" applyFont="1" applyBorder="1"/>
    <xf numFmtId="166" fontId="1" fillId="0" borderId="3" xfId="2" applyNumberFormat="1" applyFont="1" applyBorder="1" applyAlignment="1">
      <alignment horizontal="right"/>
    </xf>
    <xf numFmtId="0" fontId="0" fillId="0" borderId="0" xfId="0" applyAlignment="1">
      <alignment horizontal="center"/>
    </xf>
    <xf numFmtId="2" fontId="0" fillId="0" borderId="6" xfId="0" applyNumberForma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6" fillId="0" borderId="0" xfId="0" applyFont="1" applyAlignment="1"/>
    <xf numFmtId="3" fontId="0" fillId="0" borderId="0" xfId="0" applyNumberFormat="1"/>
    <xf numFmtId="1" fontId="0" fillId="0" borderId="3" xfId="0" applyNumberFormat="1" applyBorder="1"/>
    <xf numFmtId="2" fontId="6" fillId="0" borderId="3" xfId="0" applyNumberFormat="1" applyFont="1" applyBorder="1"/>
    <xf numFmtId="3" fontId="1" fillId="0" borderId="3" xfId="0" applyNumberFormat="1" applyFont="1" applyBorder="1" applyProtection="1"/>
    <xf numFmtId="3" fontId="5" fillId="0" borderId="3" xfId="0" applyNumberFormat="1" applyFont="1" applyBorder="1" applyProtection="1"/>
    <xf numFmtId="3" fontId="6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2" fontId="0" fillId="0" borderId="3" xfId="0" applyNumberFormat="1" applyBorder="1" applyProtection="1">
      <protection locked="0"/>
    </xf>
    <xf numFmtId="2" fontId="5" fillId="0" borderId="3" xfId="0" applyNumberFormat="1" applyFont="1" applyBorder="1" applyProtection="1">
      <protection locked="0"/>
    </xf>
    <xf numFmtId="0" fontId="6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7" fillId="0" borderId="0" xfId="0" applyFont="1"/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Continuous"/>
    </xf>
    <xf numFmtId="3" fontId="0" fillId="0" borderId="3" xfId="2" applyNumberFormat="1" applyFont="1" applyBorder="1"/>
    <xf numFmtId="3" fontId="1" fillId="0" borderId="3" xfId="2" applyNumberFormat="1" applyFont="1" applyBorder="1"/>
    <xf numFmtId="3" fontId="6" fillId="0" borderId="3" xfId="0" applyNumberFormat="1" applyFont="1" applyBorder="1"/>
    <xf numFmtId="165" fontId="0" fillId="0" borderId="0" xfId="0" applyNumberFormat="1"/>
    <xf numFmtId="3" fontId="5" fillId="0" borderId="6" xfId="2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3" xfId="0" applyBorder="1"/>
    <xf numFmtId="0" fontId="5" fillId="0" borderId="3" xfId="0" applyFont="1" applyBorder="1" applyAlignment="1">
      <alignment horizontal="center"/>
    </xf>
    <xf numFmtId="4" fontId="0" fillId="0" borderId="3" xfId="0" applyNumberFormat="1" applyBorder="1" applyProtection="1">
      <protection locked="0"/>
    </xf>
    <xf numFmtId="4" fontId="1" fillId="0" borderId="3" xfId="0" applyNumberFormat="1" applyFont="1" applyBorder="1"/>
    <xf numFmtId="4" fontId="0" fillId="0" borderId="3" xfId="0" applyNumberFormat="1" applyBorder="1"/>
    <xf numFmtId="4" fontId="0" fillId="0" borderId="3" xfId="0" applyNumberFormat="1" applyBorder="1" applyAlignment="1"/>
    <xf numFmtId="3" fontId="0" fillId="0" borderId="3" xfId="0" applyNumberFormat="1" applyBorder="1" applyAlignment="1" applyProtection="1">
      <protection locked="0"/>
    </xf>
    <xf numFmtId="164" fontId="6" fillId="0" borderId="6" xfId="2" applyNumberFormat="1" applyFont="1" applyBorder="1" applyAlignment="1"/>
    <xf numFmtId="4" fontId="5" fillId="0" borderId="3" xfId="0" applyNumberFormat="1" applyFont="1" applyBorder="1" applyAlignment="1"/>
    <xf numFmtId="3" fontId="6" fillId="0" borderId="3" xfId="0" applyNumberFormat="1" applyFont="1" applyBorder="1" applyProtection="1">
      <protection locked="0"/>
    </xf>
    <xf numFmtId="4" fontId="6" fillId="0" borderId="3" xfId="0" applyNumberFormat="1" applyFont="1" applyBorder="1"/>
    <xf numFmtId="164" fontId="6" fillId="0" borderId="6" xfId="2" applyFont="1" applyBorder="1" applyAlignment="1">
      <alignment horizontal="right"/>
    </xf>
    <xf numFmtId="4" fontId="5" fillId="0" borderId="3" xfId="0" applyNumberFormat="1" applyFont="1" applyBorder="1"/>
    <xf numFmtId="3" fontId="6" fillId="0" borderId="3" xfId="0" applyNumberFormat="1" applyFont="1" applyBorder="1" applyAlignment="1" applyProtection="1">
      <alignment vertical="center"/>
      <protection locked="0"/>
    </xf>
    <xf numFmtId="164" fontId="6" fillId="0" borderId="6" xfId="2" applyNumberFormat="1" applyFont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164" fontId="6" fillId="0" borderId="6" xfId="2" applyFont="1" applyBorder="1" applyAlignment="1"/>
    <xf numFmtId="4" fontId="1" fillId="0" borderId="3" xfId="0" applyNumberFormat="1" applyFont="1" applyBorder="1" applyProtection="1"/>
    <xf numFmtId="0" fontId="5" fillId="0" borderId="3" xfId="0" applyFont="1" applyBorder="1" applyAlignment="1">
      <alignment horizontal="right"/>
    </xf>
    <xf numFmtId="164" fontId="5" fillId="0" borderId="3" xfId="2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164" fontId="6" fillId="0" borderId="6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6" xfId="2" applyFont="1" applyBorder="1" applyAlignment="1">
      <alignment horizontal="center"/>
    </xf>
    <xf numFmtId="0" fontId="6" fillId="0" borderId="3" xfId="0" applyFont="1" applyBorder="1"/>
    <xf numFmtId="3" fontId="6" fillId="0" borderId="8" xfId="0" applyNumberFormat="1" applyFont="1" applyBorder="1" applyAlignment="1">
      <alignment horizontal="right"/>
    </xf>
    <xf numFmtId="164" fontId="6" fillId="0" borderId="3" xfId="2" applyNumberFormat="1" applyFont="1" applyBorder="1" applyAlignment="1">
      <alignment horizontal="right"/>
    </xf>
    <xf numFmtId="164" fontId="6" fillId="0" borderId="3" xfId="2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164" fontId="6" fillId="0" borderId="3" xfId="2" applyFont="1" applyBorder="1" applyAlignment="1">
      <alignment horizontal="center"/>
    </xf>
    <xf numFmtId="164" fontId="6" fillId="0" borderId="8" xfId="2" applyFont="1" applyBorder="1" applyAlignment="1">
      <alignment horizontal="right"/>
    </xf>
    <xf numFmtId="164" fontId="6" fillId="0" borderId="8" xfId="2" applyFont="1" applyBorder="1" applyAlignment="1">
      <alignment horizontal="center"/>
    </xf>
    <xf numFmtId="164" fontId="6" fillId="0" borderId="9" xfId="2" applyFont="1" applyBorder="1" applyAlignment="1">
      <alignment horizontal="center"/>
    </xf>
    <xf numFmtId="164" fontId="6" fillId="0" borderId="9" xfId="2" applyFont="1" applyBorder="1" applyAlignment="1">
      <alignment horizontal="right"/>
    </xf>
    <xf numFmtId="164" fontId="6" fillId="0" borderId="3" xfId="2" applyFont="1" applyBorder="1"/>
    <xf numFmtId="4" fontId="6" fillId="0" borderId="3" xfId="2" applyNumberFormat="1" applyFont="1" applyBorder="1" applyAlignment="1">
      <alignment horizontal="right"/>
    </xf>
    <xf numFmtId="4" fontId="6" fillId="0" borderId="3" xfId="0" applyNumberFormat="1" applyFont="1" applyBorder="1" applyProtection="1">
      <protection locked="0"/>
    </xf>
    <xf numFmtId="0" fontId="5" fillId="0" borderId="6" xfId="0" applyFont="1" applyBorder="1" applyAlignment="1">
      <alignment horizontal="center"/>
    </xf>
    <xf numFmtId="3" fontId="8" fillId="2" borderId="3" xfId="0" applyNumberFormat="1" applyFont="1" applyFill="1" applyBorder="1" applyProtection="1"/>
    <xf numFmtId="1" fontId="8" fillId="2" borderId="3" xfId="0" applyNumberFormat="1" applyFont="1" applyFill="1" applyBorder="1" applyProtection="1"/>
    <xf numFmtId="168" fontId="6" fillId="0" borderId="3" xfId="2" applyNumberFormat="1" applyFont="1" applyBorder="1" applyAlignment="1">
      <alignment horizontal="right"/>
    </xf>
    <xf numFmtId="168" fontId="6" fillId="0" borderId="3" xfId="2" applyNumberFormat="1" applyFont="1" applyBorder="1"/>
    <xf numFmtId="3" fontId="8" fillId="0" borderId="3" xfId="0" applyNumberFormat="1" applyFont="1" applyBorder="1" applyProtection="1">
      <protection locked="0"/>
    </xf>
    <xf numFmtId="169" fontId="0" fillId="0" borderId="3" xfId="0" applyNumberFormat="1" applyBorder="1" applyProtection="1">
      <protection locked="0"/>
    </xf>
    <xf numFmtId="43" fontId="0" fillId="0" borderId="0" xfId="0" applyNumberFormat="1"/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164" fontId="5" fillId="0" borderId="3" xfId="2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3" fontId="0" fillId="0" borderId="6" xfId="0" applyNumberFormat="1" applyBorder="1"/>
    <xf numFmtId="43" fontId="0" fillId="0" borderId="14" xfId="0" applyNumberFormat="1" applyBorder="1"/>
    <xf numFmtId="4" fontId="6" fillId="0" borderId="6" xfId="0" applyNumberFormat="1" applyFont="1" applyBorder="1" applyAlignment="1">
      <alignment horizontal="center"/>
    </xf>
    <xf numFmtId="43" fontId="0" fillId="0" borderId="3" xfId="0" applyNumberFormat="1" applyBorder="1"/>
    <xf numFmtId="2" fontId="6" fillId="0" borderId="3" xfId="0" applyNumberFormat="1" applyFont="1" applyBorder="1" applyAlignment="1">
      <alignment horizontal="center"/>
    </xf>
    <xf numFmtId="164" fontId="6" fillId="0" borderId="3" xfId="2" applyNumberFormat="1" applyFont="1" applyBorder="1"/>
    <xf numFmtId="2" fontId="6" fillId="0" borderId="6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4" fontId="6" fillId="0" borderId="3" xfId="0" applyNumberFormat="1" applyFont="1" applyBorder="1" applyAlignment="1" applyProtection="1">
      <alignment vertical="center"/>
      <protection locked="0"/>
    </xf>
    <xf numFmtId="164" fontId="0" fillId="0" borderId="3" xfId="2" applyFont="1" applyBorder="1" applyProtection="1">
      <protection locked="0"/>
    </xf>
    <xf numFmtId="167" fontId="6" fillId="0" borderId="10" xfId="2" applyNumberFormat="1" applyFont="1" applyFill="1" applyBorder="1" applyAlignment="1" applyProtection="1">
      <alignment horizontal="center"/>
    </xf>
    <xf numFmtId="164" fontId="6" fillId="0" borderId="10" xfId="2" applyFont="1" applyFill="1" applyBorder="1" applyAlignment="1" applyProtection="1">
      <alignment horizontal="center"/>
    </xf>
    <xf numFmtId="164" fontId="6" fillId="0" borderId="11" xfId="2" applyFont="1" applyBorder="1" applyAlignment="1">
      <alignment horizontal="center"/>
    </xf>
    <xf numFmtId="164" fontId="6" fillId="0" borderId="12" xfId="2" applyFont="1" applyBorder="1" applyAlignment="1">
      <alignment horizontal="center"/>
    </xf>
    <xf numFmtId="164" fontId="6" fillId="0" borderId="11" xfId="2" applyFont="1" applyBorder="1" applyAlignment="1"/>
    <xf numFmtId="2" fontId="6" fillId="0" borderId="12" xfId="0" applyNumberFormat="1" applyFont="1" applyBorder="1" applyAlignment="1">
      <alignment horizontal="right"/>
    </xf>
    <xf numFmtId="164" fontId="6" fillId="0" borderId="13" xfId="2" applyNumberFormat="1" applyFont="1" applyBorder="1" applyAlignment="1">
      <alignment horizontal="right"/>
    </xf>
    <xf numFmtId="4" fontId="1" fillId="0" borderId="3" xfId="0" applyNumberFormat="1" applyFont="1" applyBorder="1" applyProtection="1">
      <protection locked="0"/>
    </xf>
    <xf numFmtId="164" fontId="0" fillId="0" borderId="0" xfId="2" applyFont="1"/>
    <xf numFmtId="43" fontId="6" fillId="0" borderId="15" xfId="0" applyNumberFormat="1" applyFont="1" applyBorder="1" applyAlignment="1">
      <alignment horizontal="right"/>
    </xf>
    <xf numFmtId="43" fontId="6" fillId="0" borderId="16" xfId="0" applyNumberFormat="1" applyFont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4" fontId="8" fillId="0" borderId="3" xfId="0" applyNumberFormat="1" applyFont="1" applyBorder="1" applyProtection="1">
      <protection locked="0"/>
    </xf>
    <xf numFmtId="1" fontId="1" fillId="0" borderId="3" xfId="0" applyNumberFormat="1" applyFont="1" applyBorder="1"/>
    <xf numFmtId="1" fontId="0" fillId="0" borderId="0" xfId="0" applyNumberFormat="1"/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zoomScaleNormal="100" workbookViewId="0">
      <selection activeCell="H17" sqref="H17"/>
    </sheetView>
  </sheetViews>
  <sheetFormatPr baseColWidth="10" defaultColWidth="9" defaultRowHeight="30" x14ac:dyDescent="0.4"/>
  <cols>
    <col min="1" max="1" width="10.625" style="1" customWidth="1"/>
    <col min="2" max="9" width="9" style="1" customWidth="1"/>
  </cols>
  <sheetData>
    <row r="1" spans="1:13" x14ac:dyDescent="0.4">
      <c r="A1" s="12"/>
      <c r="B1" s="12"/>
      <c r="C1" s="12"/>
      <c r="D1" s="12"/>
      <c r="E1" s="12"/>
      <c r="F1" s="12"/>
      <c r="G1" s="12"/>
      <c r="H1" s="12"/>
      <c r="I1" s="12"/>
    </row>
    <row r="2" spans="1:13" x14ac:dyDescent="0.4">
      <c r="A2" s="12"/>
      <c r="B2" s="12"/>
      <c r="C2" s="12"/>
      <c r="D2" s="12"/>
      <c r="E2" s="12"/>
      <c r="F2" s="12"/>
      <c r="G2" s="12"/>
      <c r="H2" s="12"/>
      <c r="I2" s="12"/>
    </row>
    <row r="3" spans="1:13" x14ac:dyDescent="0.4">
      <c r="A3" s="12"/>
      <c r="B3" s="12"/>
      <c r="C3" s="12"/>
      <c r="D3" s="12"/>
      <c r="E3" s="12"/>
      <c r="F3" s="12"/>
      <c r="G3" s="12"/>
      <c r="H3" s="12"/>
      <c r="I3" s="12"/>
    </row>
    <row r="4" spans="1:13" x14ac:dyDescent="0.4">
      <c r="A4" s="1" t="s">
        <v>0</v>
      </c>
      <c r="J4" s="13"/>
      <c r="K4" s="13"/>
      <c r="L4" s="13"/>
      <c r="M4" s="13"/>
    </row>
    <row r="5" spans="1:13" x14ac:dyDescent="0.4">
      <c r="J5" s="13"/>
      <c r="K5" s="13"/>
      <c r="L5" s="13"/>
      <c r="M5" s="13"/>
    </row>
    <row r="6" spans="1:13" x14ac:dyDescent="0.4">
      <c r="J6" s="13"/>
      <c r="K6" s="13"/>
      <c r="L6" s="13"/>
      <c r="M6" s="13"/>
    </row>
    <row r="7" spans="1:13" x14ac:dyDescent="0.4">
      <c r="A7" s="1" t="s">
        <v>1</v>
      </c>
      <c r="J7" s="13"/>
      <c r="K7" s="13"/>
      <c r="L7" s="13"/>
      <c r="M7" s="13"/>
    </row>
    <row r="8" spans="1:13" x14ac:dyDescent="0.4">
      <c r="J8" s="13"/>
      <c r="K8" s="13"/>
      <c r="L8" s="13"/>
      <c r="M8" s="13"/>
    </row>
    <row r="9" spans="1:13" x14ac:dyDescent="0.4">
      <c r="J9" s="13"/>
      <c r="K9" s="13"/>
      <c r="L9" s="13"/>
      <c r="M9" s="13"/>
    </row>
    <row r="10" spans="1:13" x14ac:dyDescent="0.4">
      <c r="A10" s="1" t="s">
        <v>2</v>
      </c>
      <c r="J10" s="13"/>
      <c r="K10" s="13"/>
      <c r="L10" s="13"/>
      <c r="M10" s="13"/>
    </row>
    <row r="11" spans="1:13" x14ac:dyDescent="0.4">
      <c r="J11" s="13"/>
      <c r="K11" s="13"/>
      <c r="L11" s="13"/>
      <c r="M11" s="13"/>
    </row>
    <row r="12" spans="1:13" x14ac:dyDescent="0.4">
      <c r="J12" s="13"/>
      <c r="K12" s="13"/>
      <c r="L12" s="13"/>
      <c r="M12" s="13"/>
    </row>
    <row r="13" spans="1:13" x14ac:dyDescent="0.4">
      <c r="J13" s="13"/>
      <c r="K13" s="13"/>
      <c r="L13" s="13"/>
      <c r="M13" s="13"/>
    </row>
    <row r="14" spans="1:13" x14ac:dyDescent="0.4">
      <c r="A14" s="22">
        <v>2016</v>
      </c>
      <c r="J14" s="13"/>
      <c r="K14" s="13"/>
      <c r="L14" s="13"/>
      <c r="M14" s="13"/>
    </row>
    <row r="15" spans="1:13" x14ac:dyDescent="0.4">
      <c r="A15" s="37" t="s">
        <v>24</v>
      </c>
      <c r="B15" s="12"/>
      <c r="C15" s="12"/>
      <c r="D15" s="12"/>
      <c r="E15" s="12"/>
      <c r="F15" s="12"/>
      <c r="G15" s="12"/>
      <c r="H15" s="12"/>
      <c r="I15" s="11" t="s">
        <v>3</v>
      </c>
      <c r="K15" s="11"/>
      <c r="L15" s="11"/>
      <c r="M15" s="11"/>
    </row>
    <row r="16" spans="1:13" x14ac:dyDescent="0.4">
      <c r="B16" s="12"/>
      <c r="C16" s="12"/>
      <c r="D16" s="12"/>
      <c r="E16" s="12"/>
      <c r="F16" s="12"/>
      <c r="G16" s="12"/>
      <c r="H16" s="12"/>
      <c r="I16" s="12"/>
    </row>
    <row r="17" spans="1:9" x14ac:dyDescent="0.4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4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4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4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4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4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4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4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4">
      <c r="A25" s="12"/>
      <c r="B25" s="12"/>
      <c r="C25" s="12"/>
      <c r="D25" s="12"/>
      <c r="E25" s="12"/>
      <c r="F25" s="12"/>
      <c r="G25" s="12"/>
      <c r="H25" s="12"/>
      <c r="I25" s="12"/>
    </row>
    <row r="26" spans="1:9" x14ac:dyDescent="0.4">
      <c r="A26" s="12"/>
      <c r="B26" s="12"/>
      <c r="C26" s="12"/>
      <c r="D26" s="12"/>
      <c r="E26" s="12"/>
      <c r="F26" s="12"/>
      <c r="G26" s="12"/>
      <c r="H26" s="12"/>
      <c r="I26" s="12"/>
    </row>
    <row r="27" spans="1:9" x14ac:dyDescent="0.4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4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4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4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4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4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4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4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4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4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4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4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4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4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4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4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4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4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4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4">
      <c r="A46" s="12"/>
      <c r="B46" s="12"/>
      <c r="C46" s="12"/>
      <c r="D46" s="12"/>
      <c r="E46" s="12"/>
      <c r="F46" s="12"/>
      <c r="G46" s="12"/>
      <c r="H46" s="12"/>
      <c r="I46" s="12"/>
    </row>
    <row r="47" spans="1:9" x14ac:dyDescent="0.4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4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4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4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4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4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4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4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4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4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4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4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4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4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4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4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4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4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4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4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4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4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4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4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4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4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4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4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4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4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4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4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4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4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4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4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4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4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4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4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4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4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4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4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4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4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4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4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4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4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4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4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4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4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x14ac:dyDescent="0.4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x14ac:dyDescent="0.4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x14ac:dyDescent="0.4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x14ac:dyDescent="0.4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x14ac:dyDescent="0.4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x14ac:dyDescent="0.4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x14ac:dyDescent="0.4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x14ac:dyDescent="0.4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x14ac:dyDescent="0.4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x14ac:dyDescent="0.4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x14ac:dyDescent="0.4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x14ac:dyDescent="0.4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x14ac:dyDescent="0.4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x14ac:dyDescent="0.4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x14ac:dyDescent="0.4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x14ac:dyDescent="0.4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x14ac:dyDescent="0.4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x14ac:dyDescent="0.4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x14ac:dyDescent="0.4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x14ac:dyDescent="0.4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x14ac:dyDescent="0.4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x14ac:dyDescent="0.4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x14ac:dyDescent="0.4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x14ac:dyDescent="0.4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x14ac:dyDescent="0.4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x14ac:dyDescent="0.4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x14ac:dyDescent="0.4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x14ac:dyDescent="0.4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x14ac:dyDescent="0.4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x14ac:dyDescent="0.4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x14ac:dyDescent="0.4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x14ac:dyDescent="0.4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x14ac:dyDescent="0.4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x14ac:dyDescent="0.4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x14ac:dyDescent="0.4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x14ac:dyDescent="0.4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x14ac:dyDescent="0.4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x14ac:dyDescent="0.4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x14ac:dyDescent="0.4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x14ac:dyDescent="0.4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x14ac:dyDescent="0.4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x14ac:dyDescent="0.4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x14ac:dyDescent="0.4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x14ac:dyDescent="0.4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x14ac:dyDescent="0.4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x14ac:dyDescent="0.4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x14ac:dyDescent="0.4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x14ac:dyDescent="0.4">
      <c r="A148" s="12"/>
      <c r="B148" s="12"/>
      <c r="C148" s="12"/>
      <c r="D148" s="12"/>
      <c r="E148" s="12"/>
      <c r="F148" s="12"/>
      <c r="G148" s="12"/>
      <c r="H148" s="12"/>
      <c r="I148" s="12"/>
    </row>
  </sheetData>
  <phoneticPr fontId="0" type="noConversion"/>
  <printOptions gridLines="1"/>
  <pageMargins left="0.78740157480314965" right="0.78740157480314965" top="0.78740157480314965" bottom="1.62" header="0.51181102362204722" footer="0.51181102362204722"/>
  <pageSetup paperSize="9" scale="91" orientation="landscape" r:id="rId1"/>
  <headerFooter alignWithMargins="0">
    <oddHeader>&amp;C- 1 -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showZeros="0" zoomScale="84" zoomScaleNormal="84" workbookViewId="0">
      <selection activeCell="L17" sqref="L17"/>
    </sheetView>
  </sheetViews>
  <sheetFormatPr baseColWidth="10" defaultColWidth="9" defaultRowHeight="15.75" x14ac:dyDescent="0.25"/>
  <cols>
    <col min="1" max="1" width="25.875" style="14" customWidth="1"/>
    <col min="2" max="3" width="11.75" customWidth="1"/>
    <col min="4" max="5" width="9.625" customWidth="1"/>
    <col min="6" max="8" width="9.25" customWidth="1"/>
    <col min="9" max="9" width="9.875" customWidth="1"/>
    <col min="10" max="13" width="9.25" customWidth="1"/>
  </cols>
  <sheetData>
    <row r="2" spans="1:13" ht="20.25" x14ac:dyDescent="0.3">
      <c r="A2" s="20" t="str">
        <f>"MÅLESTATISTIKK FOR ISOLATØRER -  "&amp;FORS!$A$14</f>
        <v>MÅLESTATISTIKK FOR ISOLATØRER - 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"&amp;FORS!$A$14-0</f>
        <v>Fortjeneste 2016</v>
      </c>
      <c r="G4" s="5"/>
      <c r="H4" s="3"/>
      <c r="I4" s="2">
        <f>FORS!$A$14-1</f>
        <v>2015</v>
      </c>
      <c r="J4" s="5"/>
      <c r="K4" s="3"/>
      <c r="L4" s="47" t="s">
        <v>29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8" t="s">
        <v>21</v>
      </c>
      <c r="B7" s="21">
        <v>0</v>
      </c>
      <c r="C7" s="21"/>
      <c r="D7" s="21"/>
      <c r="E7" s="21"/>
      <c r="F7" s="6">
        <f t="shared" ref="F7:G9" si="0">IF(D7=0,0,B7/D7)</f>
        <v>0</v>
      </c>
      <c r="G7" s="6">
        <f t="shared" si="0"/>
        <v>0</v>
      </c>
      <c r="H7" s="6">
        <f>IF(D7+E7=0,0,(B7+C7)/(D7+E7))</f>
        <v>0</v>
      </c>
      <c r="I7" s="21">
        <v>0</v>
      </c>
      <c r="J7" s="21">
        <v>0</v>
      </c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8" t="s">
        <v>22</v>
      </c>
      <c r="B8" s="21"/>
      <c r="C8" s="21"/>
      <c r="D8" s="21"/>
      <c r="E8" s="21"/>
      <c r="F8" s="6">
        <f>IF(D8=0,0,B8/D8)</f>
        <v>0</v>
      </c>
      <c r="G8" s="6">
        <f>IF(E8=0,0,C8/E8)</f>
        <v>0</v>
      </c>
      <c r="H8" s="6">
        <f>IF(D8+E8=0,0,(B8+C8)/(D8+E8))</f>
        <v>0</v>
      </c>
      <c r="I8" s="21"/>
      <c r="J8" s="21">
        <v>0</v>
      </c>
      <c r="K8" s="6"/>
      <c r="L8" s="19">
        <f t="shared" ref="L8:L9" si="1">IF(I8=0,0,(B8-I8)/I8)</f>
        <v>0</v>
      </c>
      <c r="M8" s="19">
        <f t="shared" ref="M8:M9" si="2">IF(K8=0,0,(H8-K8)/K8)</f>
        <v>0</v>
      </c>
    </row>
    <row r="9" spans="1:13" s="28" customFormat="1" ht="21.75" customHeight="1" x14ac:dyDescent="0.25">
      <c r="A9" s="30" t="str">
        <f>"Landet i alt "&amp;FORS!A14</f>
        <v>Landet i alt 2016</v>
      </c>
      <c r="B9" s="42">
        <f>SUM(B7:B8)</f>
        <v>0</v>
      </c>
      <c r="C9" s="42">
        <f>SUM(C7:C8)</f>
        <v>0</v>
      </c>
      <c r="D9" s="42">
        <f>SUM(D7:D8)</f>
        <v>0</v>
      </c>
      <c r="E9" s="29">
        <f>SUM(E7:E8)</f>
        <v>0</v>
      </c>
      <c r="F9" s="31">
        <f t="shared" si="0"/>
        <v>0</v>
      </c>
      <c r="G9" s="31">
        <f t="shared" si="0"/>
        <v>0</v>
      </c>
      <c r="H9" s="31">
        <f>IF(D9+E9=0,0,(B9+C9)/(D9+E9))</f>
        <v>0</v>
      </c>
      <c r="I9" s="42">
        <f>SUM(I7:I8)</f>
        <v>0</v>
      </c>
      <c r="J9" s="42">
        <f>SUM(J7:J8)</f>
        <v>0</v>
      </c>
      <c r="K9" s="31"/>
      <c r="L9" s="32">
        <f t="shared" si="1"/>
        <v>0</v>
      </c>
      <c r="M9" s="32">
        <f t="shared" si="2"/>
        <v>0</v>
      </c>
    </row>
    <row r="11" spans="1:13" x14ac:dyDescent="0.25">
      <c r="A11" s="27"/>
      <c r="B11" s="2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72" orientation="landscape" r:id="rId1"/>
  <headerFooter alignWithMargins="0">
    <oddFooter>&amp;L&amp;9FORH.AVD./&amp;D/&amp;T/&amp;F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showZeros="0" tabSelected="1" zoomScale="84" zoomScaleNormal="84" workbookViewId="0">
      <selection activeCell="P11" sqref="P11"/>
    </sheetView>
  </sheetViews>
  <sheetFormatPr baseColWidth="10" defaultColWidth="9" defaultRowHeight="15.75" x14ac:dyDescent="0.25"/>
  <cols>
    <col min="1" max="1" width="16.875" style="14" customWidth="1"/>
    <col min="2" max="5" width="11.75" customWidth="1"/>
    <col min="6" max="8" width="9.25" customWidth="1"/>
    <col min="9" max="9" width="13.375" customWidth="1"/>
    <col min="10" max="10" width="10.875" customWidth="1"/>
    <col min="11" max="11" width="9.25" customWidth="1"/>
    <col min="12" max="13" width="9.375" customWidth="1"/>
  </cols>
  <sheetData>
    <row r="2" spans="1:13" ht="20.25" x14ac:dyDescent="0.3">
      <c r="A2" s="20" t="str">
        <f>"MÅLESTATISTIKK ALLE BYGGFAG - 1. HALVÅR "&amp;FORS!$A$14</f>
        <v>MÅLESTATISTIKK ALLE BYGGFAG - 1. HALVÅR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2016</v>
      </c>
      <c r="G4" s="5"/>
      <c r="H4" s="3"/>
      <c r="I4" s="2" t="str">
        <f>" 1. halvår  "&amp;FORS!$A$14-1</f>
        <v xml:space="preserve"> 1. halvår  2015</v>
      </c>
      <c r="J4" s="5"/>
      <c r="K4" s="3"/>
      <c r="L4" s="47" t="s">
        <v>29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7" t="s">
        <v>25</v>
      </c>
      <c r="B7" s="4">
        <f>BETONG!B7+TØMRERE!B7+MALERE!B7+TAKTEKKERE!B7+MURERE!B7</f>
        <v>5824270</v>
      </c>
      <c r="C7" s="4">
        <f>BETONG!C7+TØMRERE!C7+MALERE!C7+TAKTEKKERE!C7+MURERE!C7</f>
        <v>288719</v>
      </c>
      <c r="D7" s="4">
        <f>BETONG!D7+TØMRERE!D7+MALERE!D7+TAKTEKKERE!D7+MURERE!D7</f>
        <v>21538.5</v>
      </c>
      <c r="E7" s="4">
        <f>BETONG!E7+TØMRERE!E7+MALERE!E7+TAKTEKKERE!E7+MURERE!E7</f>
        <v>1459</v>
      </c>
      <c r="F7" s="6">
        <f t="shared" ref="F7:G22" si="0">IF(D7=0,0,B7/D7)</f>
        <v>270.41205283561993</v>
      </c>
      <c r="G7" s="6">
        <f t="shared" si="0"/>
        <v>197.88827964359149</v>
      </c>
      <c r="H7" s="6">
        <f t="shared" ref="H7:H22" si="1">IF(D7+E7=0,0,(B7+C7)/(D7+E7))</f>
        <v>265.81102293727577</v>
      </c>
      <c r="I7" s="4">
        <v>10755402</v>
      </c>
      <c r="J7" s="55">
        <v>0</v>
      </c>
      <c r="K7" s="6">
        <v>265.54000000000002</v>
      </c>
      <c r="L7" s="7">
        <f>IF(I7=0,0,(B7-I7)/I7)</f>
        <v>-0.45847956217722036</v>
      </c>
      <c r="M7" s="7">
        <f>(H7-K7)/K7</f>
        <v>1.0206482536557404E-3</v>
      </c>
    </row>
    <row r="8" spans="1:13" x14ac:dyDescent="0.25">
      <c r="A8" s="17" t="s">
        <v>7</v>
      </c>
      <c r="B8" s="4">
        <f>BETONG!B8+TØMRERE!B8+MALERE!B8+RØRLEGGERE!B7+MURERE!B8+TAKTEKKERE!B11</f>
        <v>30426194.630000003</v>
      </c>
      <c r="C8" s="4">
        <f>BETONG!C8+TØMRERE!C8+MALERE!C8+RØRLEGGERE!C7+MURERE!C8+TAKTEKKERE!C11</f>
        <v>0</v>
      </c>
      <c r="D8" s="4">
        <f>BETONG!D8+TØMRERE!D8+MALERE!D8+RØRLEGGERE!D7+MURERE!D8+TAKTEKKERE!D11</f>
        <v>112216.44</v>
      </c>
      <c r="E8" s="4">
        <f>BETONG!E8+TØMRERE!E8+MALERE!E8+RØRLEGGERE!E7+MURERE!E8+TAKTEKKERE!E11</f>
        <v>0</v>
      </c>
      <c r="F8" s="6">
        <f t="shared" ref="F8" si="2">IF(D8=0,0,B8/D8)</f>
        <v>271.13847694687161</v>
      </c>
      <c r="G8" s="6">
        <f t="shared" ref="G8" si="3">IF(E8=0,0,C8/E8)</f>
        <v>0</v>
      </c>
      <c r="H8" s="6">
        <f t="shared" ref="H8" si="4">IF(D8+E8=0,0,(B8+C8)/(D8+E8))</f>
        <v>271.13847694687161</v>
      </c>
      <c r="I8" s="4">
        <v>49166471</v>
      </c>
      <c r="J8" s="55">
        <f>C8</f>
        <v>0</v>
      </c>
      <c r="K8" s="6">
        <v>273.08</v>
      </c>
      <c r="L8" s="7">
        <f t="shared" ref="L8:L22" si="5">IF(I8=0,0,(B8-I8)/I8)</f>
        <v>-0.38115968034394815</v>
      </c>
      <c r="M8" s="7">
        <f t="shared" ref="M8:M22" si="6">(H8-K8)/K8</f>
        <v>-7.1097226202152426E-3</v>
      </c>
    </row>
    <row r="9" spans="1:13" x14ac:dyDescent="0.25">
      <c r="A9" s="17" t="s">
        <v>26</v>
      </c>
      <c r="B9" s="4">
        <f>BETONG!B9+TØMRERE!B9</f>
        <v>0</v>
      </c>
      <c r="C9" s="4">
        <f>BETONG!C9+TØMRERE!C9</f>
        <v>0</v>
      </c>
      <c r="D9" s="4">
        <f>BETONG!D9+TØMRERE!D9</f>
        <v>0</v>
      </c>
      <c r="E9" s="4">
        <f>BETONG!E9+TØMRERE!E9</f>
        <v>0</v>
      </c>
      <c r="F9" s="6">
        <f t="shared" si="0"/>
        <v>0</v>
      </c>
      <c r="G9" s="6">
        <f t="shared" si="0"/>
        <v>0</v>
      </c>
      <c r="H9" s="6">
        <f t="shared" si="1"/>
        <v>0</v>
      </c>
      <c r="J9" s="55">
        <v>0</v>
      </c>
      <c r="L9" s="7">
        <f>IF(I32=0,0,(B9-I32)/I32)</f>
        <v>-1</v>
      </c>
      <c r="M9" s="7">
        <f>(H9-K32)/K32</f>
        <v>-1</v>
      </c>
    </row>
    <row r="10" spans="1:13" x14ac:dyDescent="0.25">
      <c r="A10" s="17"/>
      <c r="B10" s="4">
        <f>BETONG!B10+TØMRERE!B10+TAKTEKKERE!B9+MURERE!B9+MALERE!B9</f>
        <v>0</v>
      </c>
      <c r="C10" s="4">
        <f>BETONG!C10+TØMRERE!C10+TAKTEKKERE!C9+MURERE!C9+MALERE!C9</f>
        <v>0</v>
      </c>
      <c r="D10" s="4">
        <f>BETONG!D10+TØMRERE!D10+TAKTEKKERE!D9+MURERE!D9+MALERE!D9</f>
        <v>0</v>
      </c>
      <c r="E10" s="4">
        <f>BETONG!E10+TØMRERE!E10+TAKTEKKERE!E9+MURERE!E9+MALERE!E9</f>
        <v>0</v>
      </c>
      <c r="F10" s="6">
        <f t="shared" si="0"/>
        <v>0</v>
      </c>
      <c r="G10" s="6">
        <f t="shared" si="0"/>
        <v>0</v>
      </c>
      <c r="H10" s="6">
        <f t="shared" si="1"/>
        <v>0</v>
      </c>
      <c r="I10" s="4">
        <v>1966967</v>
      </c>
      <c r="J10" s="55">
        <v>0</v>
      </c>
      <c r="K10" s="6">
        <v>291.58</v>
      </c>
      <c r="L10" s="7"/>
      <c r="M10" s="7"/>
    </row>
    <row r="11" spans="1:13" x14ac:dyDescent="0.25">
      <c r="A11" s="17" t="s">
        <v>9</v>
      </c>
      <c r="B11" s="4">
        <f>BETONG!B11+'BLIKK OG VENTILASJON'!B7+TAKTEKKERE!B8</f>
        <v>7182045</v>
      </c>
      <c r="C11" s="4">
        <f>BETONG!C11++'BLIKK OG VENTILASJON'!C7+TAKTEKKERE!C8</f>
        <v>0</v>
      </c>
      <c r="D11" s="4">
        <f>BETONG!D11++'BLIKK OG VENTILASJON'!D7+TAKTEKKERE!D8</f>
        <v>27760.92</v>
      </c>
      <c r="E11" s="4">
        <f>BETONG!E11++'BLIKK OG VENTILASJON'!E7+TAKTEKKERE!E8</f>
        <v>0</v>
      </c>
      <c r="F11" s="6">
        <f t="shared" si="0"/>
        <v>258.71062630489195</v>
      </c>
      <c r="G11" s="6">
        <f t="shared" si="0"/>
        <v>0</v>
      </c>
      <c r="H11" s="6">
        <f t="shared" si="1"/>
        <v>258.71062630489195</v>
      </c>
      <c r="I11" s="4">
        <v>6789716</v>
      </c>
      <c r="J11" s="55">
        <v>0</v>
      </c>
      <c r="K11" s="6">
        <v>254.51</v>
      </c>
      <c r="L11" s="7">
        <f t="shared" si="5"/>
        <v>5.778282920817307E-2</v>
      </c>
      <c r="M11" s="7">
        <f t="shared" si="6"/>
        <v>1.6504759360700779E-2</v>
      </c>
    </row>
    <row r="12" spans="1:13" x14ac:dyDescent="0.25">
      <c r="A12" s="17" t="s">
        <v>10</v>
      </c>
      <c r="B12" s="4">
        <f>BETONG!B12+TØMRERE!B11+MALERE!B10+TAKTEKKERE!B10+MURERE!B10</f>
        <v>14511537.710000001</v>
      </c>
      <c r="C12" s="65">
        <f>BETONG!C12+TØMRERE!C11+MALERE!C10+TAKTEKKERE!C10+MURERE!C10</f>
        <v>627149.59000000008</v>
      </c>
      <c r="D12" s="4">
        <f>BETONG!D12+TØMRERE!D11+MALERE!D10+TAKTEKKERE!D10+MURERE!D10</f>
        <v>48975.33</v>
      </c>
      <c r="E12" s="4">
        <f>BETONG!E12+TØMRERE!E11+MALERE!E10+TAKTEKKERE!E10+MURERE!E10</f>
        <v>3481.5</v>
      </c>
      <c r="F12" s="6">
        <f t="shared" si="0"/>
        <v>296.30301031151805</v>
      </c>
      <c r="G12" s="6">
        <f t="shared" si="0"/>
        <v>180.13775384173491</v>
      </c>
      <c r="H12" s="6">
        <f t="shared" si="1"/>
        <v>288.59325468199279</v>
      </c>
      <c r="I12" s="4">
        <v>9555534</v>
      </c>
      <c r="J12" s="55">
        <v>823660</v>
      </c>
      <c r="K12" s="6">
        <v>263.98</v>
      </c>
      <c r="L12" s="7">
        <f t="shared" si="5"/>
        <v>0.51865272103055682</v>
      </c>
      <c r="M12" s="7">
        <f t="shared" si="6"/>
        <v>9.3239088877917903E-2</v>
      </c>
    </row>
    <row r="13" spans="1:13" x14ac:dyDescent="0.25">
      <c r="A13" s="17" t="s">
        <v>11</v>
      </c>
      <c r="B13" s="4">
        <f>BETONG!B13+TØMRERE!B12+MALERE!B11+RØRLEGGERE!B8+MURERE!B11+TAKTEKKERE!B12</f>
        <v>2541354</v>
      </c>
      <c r="C13" s="4">
        <f>BETONG!C13+TØMRERE!C12+MALERE!C11+RØRLEGGERE!C8+MURERE!C11+TAKTEKKERE!C12</f>
        <v>1693791</v>
      </c>
      <c r="D13" s="4">
        <f>BETONG!D13+TØMRERE!D12+MALERE!D11+RØRLEGGERE!D8+MURERE!D11+TAKTEKKERE!D12</f>
        <v>10750</v>
      </c>
      <c r="E13" s="4">
        <f>BETONG!E13+TØMRERE!E12+MALERE!E11+RØRLEGGERE!E8+MURERE!E11+TAKTEKKERE!E12</f>
        <v>8251</v>
      </c>
      <c r="F13" s="6">
        <f t="shared" si="0"/>
        <v>236.40502325581394</v>
      </c>
      <c r="G13" s="6">
        <f t="shared" si="0"/>
        <v>205.2831171979154</v>
      </c>
      <c r="H13" s="6">
        <f t="shared" si="1"/>
        <v>222.89063733487711</v>
      </c>
      <c r="I13" s="4">
        <v>7370371</v>
      </c>
      <c r="J13" s="55">
        <v>675503</v>
      </c>
      <c r="K13" s="6">
        <v>306.66000000000003</v>
      </c>
      <c r="L13" s="7">
        <f t="shared" si="5"/>
        <v>-0.65519320533525383</v>
      </c>
      <c r="M13" s="7">
        <f t="shared" si="6"/>
        <v>-0.27316690362330565</v>
      </c>
    </row>
    <row r="14" spans="1:13" x14ac:dyDescent="0.25">
      <c r="A14" s="17" t="s">
        <v>12</v>
      </c>
      <c r="B14" s="4">
        <f>BETONG!B14</f>
        <v>26362513.16</v>
      </c>
      <c r="C14" s="4">
        <f>BETONG!C14+MALERE!C12</f>
        <v>0</v>
      </c>
      <c r="D14" s="4">
        <f>BETONG!D14+MALERE!D12</f>
        <v>88921.19</v>
      </c>
      <c r="E14" s="4">
        <f>BETONG!E14+MALERE!E12</f>
        <v>0</v>
      </c>
      <c r="F14" s="6">
        <f t="shared" si="0"/>
        <v>296.47053936187763</v>
      </c>
      <c r="G14" s="6">
        <f t="shared" si="0"/>
        <v>0</v>
      </c>
      <c r="H14" s="6">
        <f t="shared" si="1"/>
        <v>296.47053936187763</v>
      </c>
      <c r="I14" s="4">
        <v>40738774</v>
      </c>
      <c r="J14" s="55">
        <v>0</v>
      </c>
      <c r="K14" s="6">
        <v>321.20999999999998</v>
      </c>
      <c r="L14" s="7">
        <f t="shared" si="5"/>
        <v>-0.35288889253270117</v>
      </c>
      <c r="M14" s="7">
        <f t="shared" si="6"/>
        <v>-7.7019584191408599E-2</v>
      </c>
    </row>
    <row r="15" spans="1:13" x14ac:dyDescent="0.25">
      <c r="A15" s="17" t="s">
        <v>13</v>
      </c>
      <c r="B15" s="4">
        <f>BETONG!B15+TØMRERE!B13+RØRLEGGERE!B9+'BLIKK OG VENTILASJON'!B8+TAKTEKKERE!B13+MURERE!B12</f>
        <v>4428838</v>
      </c>
      <c r="C15" s="4">
        <f>BETONG!C15+TØMRERE!C13+RØRLEGGERE!C9+'BLIKK OG VENTILASJON'!C8+TAKTEKKERE!C13+MURERE!C12</f>
        <v>95510</v>
      </c>
      <c r="D15" s="4">
        <f>BETONG!D15+TØMRERE!D13+RØRLEGGERE!D9+'BLIKK OG VENTILASJON'!D8+TAKTEKKERE!D13+MURERE!D12</f>
        <v>13864.5</v>
      </c>
      <c r="E15" s="4">
        <f>BETONG!E15+TØMRERE!E13+RØRLEGGERE!E9+'BLIKK OG VENTILASJON'!E8+TAKTEKKERE!E13+MURERE!E12</f>
        <v>559</v>
      </c>
      <c r="F15" s="6">
        <f t="shared" si="0"/>
        <v>319.43726784233115</v>
      </c>
      <c r="G15" s="6">
        <f t="shared" si="0"/>
        <v>170.85867620751341</v>
      </c>
      <c r="H15" s="6">
        <f t="shared" si="1"/>
        <v>313.67892675148198</v>
      </c>
      <c r="I15" s="4">
        <v>7357788</v>
      </c>
      <c r="J15" s="55">
        <v>204969</v>
      </c>
      <c r="K15" s="6">
        <v>275.81</v>
      </c>
      <c r="L15" s="7">
        <f t="shared" si="5"/>
        <v>-0.39807480182902799</v>
      </c>
      <c r="M15" s="7">
        <f t="shared" si="6"/>
        <v>0.13730077499540255</v>
      </c>
    </row>
    <row r="16" spans="1:13" x14ac:dyDescent="0.25">
      <c r="A16" s="17" t="s">
        <v>14</v>
      </c>
      <c r="B16" s="4">
        <f>BETONG!B16+TØMRERE!B14+MALERE!B13+TAKTEKKERE!B14+MURERE!B14</f>
        <v>15664087.529999999</v>
      </c>
      <c r="C16" s="4">
        <f>BETONG!C16+TØMRERE!C14+MALERE!C10+TAKTEKKERE!C14+MURERE!C14</f>
        <v>369108</v>
      </c>
      <c r="D16" s="4">
        <f>BETONG!D16+TØMRERE!D14+MALERE!D13+TAKTEKKERE!D14+MURERE!D14</f>
        <v>56053.93</v>
      </c>
      <c r="E16" s="4">
        <f>BETONG!E16+TØMRERE!E14+MALERE!E13+TAKTEKKERE!E14+MURERE!E14</f>
        <v>678</v>
      </c>
      <c r="F16" s="6">
        <f t="shared" si="0"/>
        <v>279.44673156726031</v>
      </c>
      <c r="G16" s="6">
        <f t="shared" si="0"/>
        <v>544.40707964601768</v>
      </c>
      <c r="H16" s="6">
        <f t="shared" si="1"/>
        <v>282.61325729619983</v>
      </c>
      <c r="I16" s="4">
        <v>11658182</v>
      </c>
      <c r="J16" s="55">
        <v>424120</v>
      </c>
      <c r="K16" s="6">
        <v>263.49</v>
      </c>
      <c r="L16" s="7">
        <f t="shared" si="5"/>
        <v>0.34361322631607566</v>
      </c>
      <c r="M16" s="7">
        <f t="shared" si="6"/>
        <v>7.2576785821852147E-2</v>
      </c>
    </row>
    <row r="17" spans="1:13" x14ac:dyDescent="0.25">
      <c r="A17" s="43" t="s">
        <v>35</v>
      </c>
      <c r="B17" s="4">
        <f>BETONG!B17+MALERE!B14+RØRLEGGERE!B10+TØMRERE!B16+MURERE!B13</f>
        <v>0</v>
      </c>
      <c r="C17" s="4">
        <f>BETONG!C17+MALERE!C14+RØRLEGGERE!C10+TØMRERE!C16+MURERE!C13</f>
        <v>0</v>
      </c>
      <c r="D17" s="4">
        <f>BETONG!D17+MALERE!D14+RØRLEGGERE!D10+TØMRERE!D16+MURERE!D13</f>
        <v>0</v>
      </c>
      <c r="E17" s="4">
        <f>BETONG!E17+MALERE!E14+RØRLEGGERE!E10+TØMRERE!E16+MURERE!E13</f>
        <v>0</v>
      </c>
      <c r="F17" s="6">
        <f t="shared" si="0"/>
        <v>0</v>
      </c>
      <c r="G17" s="6">
        <f t="shared" si="0"/>
        <v>0</v>
      </c>
      <c r="H17" s="6">
        <f t="shared" si="1"/>
        <v>0</v>
      </c>
      <c r="I17" s="4">
        <v>1444903</v>
      </c>
      <c r="J17" s="55">
        <v>0</v>
      </c>
      <c r="K17" s="6">
        <v>248.55</v>
      </c>
      <c r="L17" s="7"/>
      <c r="M17" s="7"/>
    </row>
    <row r="18" spans="1:13" x14ac:dyDescent="0.25">
      <c r="A18" s="17" t="s">
        <v>16</v>
      </c>
      <c r="B18" s="4">
        <f>BETONG!B18+TØMRERE!B15+MALERE!B15+RØRLEGGERE!B11+TAKTEKKERE!B15+MURERE!B15</f>
        <v>136864761.50999999</v>
      </c>
      <c r="C18" s="4">
        <f>BETONG!C18+TØMRERE!C15+MALERE!C15+RØRLEGGERE!C11+TAKTEKKERE!C15+MURERE!C15</f>
        <v>11956559.82</v>
      </c>
      <c r="D18" s="4">
        <f>BETONG!D18+TØMRERE!D15+MALERE!D15+RØRLEGGERE!D11+TAKTEKKERE!D15+MURERE!D15</f>
        <v>474259.12631999998</v>
      </c>
      <c r="E18" s="4">
        <f>BETONG!E18+TØMRERE!E15+MALERE!E15+RØRLEGGERE!E11+TAKTEKKERE!E15+MURERE!E15</f>
        <v>63202.44425</v>
      </c>
      <c r="F18" s="6">
        <f t="shared" si="0"/>
        <v>288.58645814999528</v>
      </c>
      <c r="G18" s="6">
        <f t="shared" si="0"/>
        <v>189.17875664278603</v>
      </c>
      <c r="H18" s="6">
        <f t="shared" si="1"/>
        <v>276.89667406763408</v>
      </c>
      <c r="I18" s="4">
        <v>128528279</v>
      </c>
      <c r="J18" s="55">
        <v>5172886</v>
      </c>
      <c r="K18" s="6">
        <v>275.43</v>
      </c>
      <c r="L18" s="7">
        <f t="shared" si="5"/>
        <v>6.4861076292789935E-2</v>
      </c>
      <c r="M18" s="7">
        <f t="shared" si="6"/>
        <v>5.3250338294088288E-3</v>
      </c>
    </row>
    <row r="19" spans="1:13" x14ac:dyDescent="0.25">
      <c r="A19" s="17" t="s">
        <v>17</v>
      </c>
      <c r="B19" s="4">
        <f>BETONG!B19+TØMRERE!B17+MALERE!B16+TAKTEKKERE!B16+MURERE!B16</f>
        <v>6838016</v>
      </c>
      <c r="C19" s="4"/>
      <c r="D19" s="4">
        <f>BETONG!D19+TØMRERE!D17+MALERE!D16+TAKTEKKERE!D16+MURERE!D16</f>
        <v>22541</v>
      </c>
      <c r="E19" s="4">
        <f>BETONG!E19+TØMRERE!E17</f>
        <v>0</v>
      </c>
      <c r="F19" s="6">
        <f t="shared" si="0"/>
        <v>303.3590346479748</v>
      </c>
      <c r="G19" s="6">
        <f t="shared" si="0"/>
        <v>0</v>
      </c>
      <c r="H19" s="6">
        <f t="shared" si="1"/>
        <v>303.3590346479748</v>
      </c>
      <c r="I19" s="4">
        <v>8514783</v>
      </c>
      <c r="J19" s="55">
        <v>435336</v>
      </c>
      <c r="K19" s="6">
        <v>241.53</v>
      </c>
      <c r="L19" s="7">
        <f t="shared" si="5"/>
        <v>-0.19692421991259201</v>
      </c>
      <c r="M19" s="7">
        <f t="shared" si="6"/>
        <v>0.25598904752194257</v>
      </c>
    </row>
    <row r="20" spans="1:13" x14ac:dyDescent="0.25">
      <c r="A20" s="17" t="s">
        <v>18</v>
      </c>
      <c r="B20" s="4">
        <f>BETONG!B20+TØMRERE!B18+MURERE!B18</f>
        <v>10086148</v>
      </c>
      <c r="C20" s="4">
        <f>BETONG!C20+TØMRERE!C59+MALERE!C17+RØRLEGGERE!C13+TAKTEKKERE!C17+MURERE!C17</f>
        <v>7338219.54</v>
      </c>
      <c r="D20" s="4">
        <f>BETONG!D20+TØMRERE!D18+MALERE!D17+TAKTEKKERE!D17+MURERE!D17</f>
        <v>87323</v>
      </c>
      <c r="E20" s="4">
        <f>BETONG!E20+TØMRERE!E18+MURERE!E18</f>
        <v>3455</v>
      </c>
      <c r="F20" s="6">
        <f t="shared" si="0"/>
        <v>115.50391076806798</v>
      </c>
      <c r="G20" s="6">
        <f t="shared" si="0"/>
        <v>2123.941979739508</v>
      </c>
      <c r="H20" s="6">
        <f t="shared" si="1"/>
        <v>191.94482738108351</v>
      </c>
      <c r="I20" s="4">
        <v>16445913</v>
      </c>
      <c r="J20" s="55">
        <v>3802314</v>
      </c>
      <c r="K20" s="6">
        <v>263.66000000000003</v>
      </c>
      <c r="L20" s="7">
        <f t="shared" si="5"/>
        <v>-0.3867079316301868</v>
      </c>
      <c r="M20" s="7">
        <f t="shared" si="6"/>
        <v>-0.27199868246573811</v>
      </c>
    </row>
    <row r="21" spans="1:13" x14ac:dyDescent="0.25">
      <c r="A21" s="17" t="s">
        <v>19</v>
      </c>
      <c r="B21" s="4">
        <f>BETONG!B21+TØMRERE!B19+MALERE!B17+RØRLEGGERE!B12+'BLIKK OG VENTILASJON'!B9+TAKTEKKERE!B17+MURERE!B17+ISOLATØR!B7</f>
        <v>90144330.090000004</v>
      </c>
      <c r="C21" s="4">
        <f>BETONG!C21+TØMRERE!C19+MALERE!C18+RØRLEGGERE!C14+TAKTEKKERE!C18+MURERE!C18</f>
        <v>2866618.2199999997</v>
      </c>
      <c r="D21" s="4">
        <f>BETONG!D21+TØMRERE!D19+MALERE!D18+TAKTEKKERE!D18+MURERE!D18</f>
        <v>320104.84000000003</v>
      </c>
      <c r="E21" s="4">
        <f>BETONG!E21+TØMRERE!E19+MALERE!E17+RØRLEGGERE!E12+'BLIKK OG VENTILASJON'!E9+TAKTEKKERE!E17+MURERE!E17+ISOLATØR!E7</f>
        <v>17662</v>
      </c>
      <c r="F21" s="6">
        <f t="shared" si="0"/>
        <v>281.60876945815625</v>
      </c>
      <c r="G21" s="6">
        <f t="shared" si="0"/>
        <v>162.30428150832293</v>
      </c>
      <c r="H21" s="6">
        <f t="shared" si="1"/>
        <v>275.37027705265558</v>
      </c>
      <c r="I21" s="4">
        <v>70571022</v>
      </c>
      <c r="J21" s="55">
        <v>288977</v>
      </c>
      <c r="K21" s="6">
        <v>290.99</v>
      </c>
      <c r="L21" s="7">
        <f t="shared" si="5"/>
        <v>0.2773561659628509</v>
      </c>
      <c r="M21" s="7">
        <f t="shared" si="6"/>
        <v>-5.3677868474327046E-2</v>
      </c>
    </row>
    <row r="22" spans="1:13" s="11" customFormat="1" x14ac:dyDescent="0.25">
      <c r="A22" s="18" t="s">
        <v>20</v>
      </c>
      <c r="B22" s="8">
        <f>SUM(B7:B21)</f>
        <v>350874095.63</v>
      </c>
      <c r="C22" s="8">
        <f>SUM(C7:C21)</f>
        <v>25235675.169999998</v>
      </c>
      <c r="D22" s="8">
        <f>SUM(D7:D21)</f>
        <v>1284308.7763199999</v>
      </c>
      <c r="E22" s="8">
        <f>SUM(E7:E21)</f>
        <v>98747.94425</v>
      </c>
      <c r="F22" s="9">
        <f t="shared" si="0"/>
        <v>273.20073030675593</v>
      </c>
      <c r="G22" s="9">
        <f t="shared" si="0"/>
        <v>255.55646106526413</v>
      </c>
      <c r="H22" s="9">
        <f t="shared" si="1"/>
        <v>271.94095889646064</v>
      </c>
      <c r="I22" s="56">
        <f>SUM(I7:I21)</f>
        <v>370864105</v>
      </c>
      <c r="J22" s="56">
        <f>SUM(J7:J21)</f>
        <v>11827765</v>
      </c>
      <c r="K22" s="9">
        <v>279.7</v>
      </c>
      <c r="L22" s="32">
        <f t="shared" si="5"/>
        <v>-5.3901170537925217E-2</v>
      </c>
      <c r="M22" s="32">
        <f t="shared" si="6"/>
        <v>-2.7740583137430625E-2</v>
      </c>
    </row>
    <row r="23" spans="1:13" x14ac:dyDescent="0.25">
      <c r="A23" s="44"/>
    </row>
    <row r="25" spans="1:13" ht="20.25" x14ac:dyDescent="0.3">
      <c r="A25" s="20" t="str">
        <f>"MÅLESTATISTIKK FOR ALLE BYGGFAG - 2. HALVÅR "&amp;FORS!$A$14</f>
        <v>MÅLESTATISTIKK FOR ALLE BYGGFAG - 2. HALVÅR 2016</v>
      </c>
    </row>
    <row r="26" spans="1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5"/>
      <c r="B27" s="2" t="s">
        <v>4</v>
      </c>
      <c r="C27" s="3"/>
      <c r="D27" s="2" t="s">
        <v>5</v>
      </c>
      <c r="E27" s="3"/>
      <c r="F27" s="2" t="str">
        <f>"Fortjeneste 2. halvår  "&amp;FORS!$A$14-0</f>
        <v>Fortjeneste 2. halvår  2016</v>
      </c>
      <c r="G27" s="5"/>
      <c r="H27" s="3"/>
      <c r="I27" s="2" t="str">
        <f>" 2. halvår  "&amp;FORS!$A$14-1</f>
        <v xml:space="preserve"> 2. halvår  2015</v>
      </c>
      <c r="J27" s="5"/>
      <c r="K27" s="3"/>
      <c r="L27" s="47" t="s">
        <v>29</v>
      </c>
      <c r="M27" s="3"/>
    </row>
    <row r="28" spans="1:13" x14ac:dyDescent="0.25">
      <c r="A28" s="48"/>
      <c r="B28" s="49" t="s">
        <v>6</v>
      </c>
      <c r="C28" s="49" t="s">
        <v>6</v>
      </c>
      <c r="D28" s="49" t="s">
        <v>6</v>
      </c>
      <c r="E28" s="49" t="s">
        <v>6</v>
      </c>
      <c r="F28" s="49" t="s">
        <v>6</v>
      </c>
      <c r="G28" s="49" t="s">
        <v>6</v>
      </c>
      <c r="H28" s="50" t="s">
        <v>33</v>
      </c>
      <c r="I28" s="49" t="s">
        <v>6</v>
      </c>
      <c r="J28" s="49" t="s">
        <v>6</v>
      </c>
      <c r="K28" s="50" t="s">
        <v>31</v>
      </c>
      <c r="L28" s="49" t="s">
        <v>6</v>
      </c>
      <c r="M28" s="50" t="s">
        <v>31</v>
      </c>
    </row>
    <row r="29" spans="1:13" x14ac:dyDescent="0.25">
      <c r="A29" s="52"/>
      <c r="B29" s="53" t="s">
        <v>30</v>
      </c>
      <c r="C29" s="53" t="s">
        <v>32</v>
      </c>
      <c r="D29" s="53" t="s">
        <v>30</v>
      </c>
      <c r="E29" s="53" t="s">
        <v>32</v>
      </c>
      <c r="F29" s="53" t="s">
        <v>30</v>
      </c>
      <c r="G29" s="53" t="s">
        <v>32</v>
      </c>
      <c r="H29" s="54" t="s">
        <v>34</v>
      </c>
      <c r="I29" s="53" t="s">
        <v>30</v>
      </c>
      <c r="J29" s="53" t="s">
        <v>32</v>
      </c>
      <c r="K29" s="54" t="s">
        <v>28</v>
      </c>
      <c r="L29" s="53" t="s">
        <v>30</v>
      </c>
      <c r="M29" s="54" t="s">
        <v>28</v>
      </c>
    </row>
    <row r="30" spans="1:13" x14ac:dyDescent="0.25">
      <c r="A30" s="17" t="s">
        <v>25</v>
      </c>
      <c r="B30" s="4">
        <f>BETONG!B30+TØMRERE!B28+TAKTEKKERE!B26</f>
        <v>5272896</v>
      </c>
      <c r="C30" s="4">
        <f>BETONG!C30+TØMRERE!C28+MALERE!C26+TAKTEKKERE!C26+MURERE!C27</f>
        <v>1075528</v>
      </c>
      <c r="D30" s="4">
        <f>BETONG!D30+TØMRERE!D28+MALERE!D26+TAKTEKKERE!D26+MURERE!D27</f>
        <v>18780</v>
      </c>
      <c r="E30" s="4">
        <f>BETONG!E30+TØMRERE!E28+MALERE!E26+TAKTEKKERE!E26+MURERE!E27</f>
        <v>5107</v>
      </c>
      <c r="F30" s="6">
        <f t="shared" ref="F30:G45" si="7">IF(D30=0,0,B30/D30)</f>
        <v>280.77188498402558</v>
      </c>
      <c r="G30" s="6">
        <f t="shared" si="7"/>
        <v>210.5987859800274</v>
      </c>
      <c r="H30" s="6">
        <f t="shared" ref="H30:H45" si="8">IF(D30+E30=0,0,(B30+C30)/(D30+E30))</f>
        <v>265.76899568803117</v>
      </c>
      <c r="I30" s="4">
        <v>10547945</v>
      </c>
      <c r="J30" s="55">
        <v>489063</v>
      </c>
      <c r="K30" s="6">
        <v>270.45</v>
      </c>
      <c r="L30" s="7">
        <f>IF(I30=0,0,(B30-I30)/I30)</f>
        <v>-0.50010205779419592</v>
      </c>
      <c r="M30" s="7">
        <f>(H30-K30)/K30</f>
        <v>-1.7308205997296433E-2</v>
      </c>
    </row>
    <row r="31" spans="1:13" x14ac:dyDescent="0.25">
      <c r="A31" s="17" t="s">
        <v>7</v>
      </c>
      <c r="B31" s="4">
        <f>BETONG!B31+TØMRERE!B29+MALERE!B27+RØRLEGGERE!B21+MURERE!B28+TAKTEKKERE!B30</f>
        <v>32001036.299999997</v>
      </c>
      <c r="C31" s="4">
        <f>BETONG!C31+TØMRERE!C29+MALERE!C27+RØRLEGGERE!C21+MURERE!C28+TAKTEKKERE!C30</f>
        <v>0</v>
      </c>
      <c r="D31" s="4">
        <f>BETONG!D31+TØMRERE!D29+MALERE!D27+RØRLEGGERE!D21+MURERE!D28+TAKTEKKERE!D30</f>
        <v>118365.49</v>
      </c>
      <c r="E31" s="4">
        <f>BETONG!E31+TØMRERE!E29+MALERE!E27+RØRLEGGERE!E21+MURERE!E28+TAKTEKKERE!E30</f>
        <v>0</v>
      </c>
      <c r="F31" s="6">
        <f t="shared" si="7"/>
        <v>270.35782388937855</v>
      </c>
      <c r="G31" s="6">
        <f t="shared" si="7"/>
        <v>0</v>
      </c>
      <c r="H31" s="6">
        <f t="shared" si="8"/>
        <v>270.35782388937855</v>
      </c>
      <c r="I31" s="4">
        <v>26273018</v>
      </c>
      <c r="J31" s="55">
        <v>0</v>
      </c>
      <c r="K31" s="6">
        <v>268.27999999999997</v>
      </c>
      <c r="L31" s="7">
        <f>IF(I31=0,0,(B31-I31)/I31)</f>
        <v>0.21801904524253732</v>
      </c>
      <c r="M31" s="7">
        <f t="shared" ref="M31:M45" si="9">(H31-K31)/K31</f>
        <v>7.7449824413992046E-3</v>
      </c>
    </row>
    <row r="32" spans="1:13" x14ac:dyDescent="0.25">
      <c r="A32" s="17" t="s">
        <v>26</v>
      </c>
      <c r="B32" s="4">
        <f>BETONG!B32+TØMRERE!B30</f>
        <v>0</v>
      </c>
      <c r="C32" s="4">
        <f>BETONG!C32+TØMRERE!C30</f>
        <v>0</v>
      </c>
      <c r="D32" s="4">
        <f>BETONG!D32+TØMRERE!D30</f>
        <v>0</v>
      </c>
      <c r="E32" s="4">
        <f>BETONG!E32+TØMRERE!E30</f>
        <v>0</v>
      </c>
      <c r="F32" s="6">
        <f t="shared" si="7"/>
        <v>0</v>
      </c>
      <c r="G32" s="6">
        <f t="shared" si="7"/>
        <v>0</v>
      </c>
      <c r="H32" s="6">
        <f t="shared" si="8"/>
        <v>0</v>
      </c>
      <c r="I32" s="4">
        <v>4188998.73</v>
      </c>
      <c r="J32" s="55">
        <v>0</v>
      </c>
      <c r="K32" s="6">
        <v>360.74</v>
      </c>
      <c r="L32" s="7">
        <f>IF(I32=0,0,(B32-I32)/I32)</f>
        <v>-1</v>
      </c>
      <c r="M32" s="7">
        <f t="shared" si="9"/>
        <v>-1</v>
      </c>
    </row>
    <row r="33" spans="1:13" x14ac:dyDescent="0.25">
      <c r="A33" s="17"/>
      <c r="B33" s="4">
        <f>BETONG!B33+TØMRERE!B31+TAKTEKKERE!B28+MURERE!B29+MALERE!B28</f>
        <v>0</v>
      </c>
      <c r="C33" s="4">
        <f>BETONG!C33+TØMRERE!C31+TAKTEKKERE!C28+MURERE!C29+MALERE!C28</f>
        <v>0</v>
      </c>
      <c r="D33" s="4">
        <f>BETONG!D33+TØMRERE!D31+TAKTEKKERE!D28+MURERE!D29+MALERE!D28</f>
        <v>0</v>
      </c>
      <c r="E33" s="4">
        <f>BETONG!E33+TØMRERE!E31+TAKTEKKERE!E28+MURERE!E29+MALERE!E28</f>
        <v>0</v>
      </c>
      <c r="F33" s="6">
        <f t="shared" si="7"/>
        <v>0</v>
      </c>
      <c r="G33" s="6">
        <f t="shared" si="7"/>
        <v>0</v>
      </c>
      <c r="H33" s="6">
        <f t="shared" si="8"/>
        <v>0</v>
      </c>
      <c r="I33" s="4"/>
      <c r="J33" s="55">
        <v>0</v>
      </c>
      <c r="K33" s="6"/>
      <c r="L33" s="7">
        <f t="shared" ref="L33:L45" si="10">IF(I33=0,0,(B33-I33)/I33)</f>
        <v>0</v>
      </c>
      <c r="M33" s="7"/>
    </row>
    <row r="34" spans="1:13" x14ac:dyDescent="0.25">
      <c r="A34" s="17" t="s">
        <v>9</v>
      </c>
      <c r="B34" s="4">
        <f>BETONG!B34+TAKTEKKERE!B27</f>
        <v>6280519</v>
      </c>
      <c r="C34" s="4">
        <f>BETONG!C34+TAKTEKKERE!C27</f>
        <v>0</v>
      </c>
      <c r="D34" s="4">
        <f>BETONG!D34+TAKTEKKERE!D27</f>
        <v>23786.47</v>
      </c>
      <c r="E34" s="4">
        <f>BETONG!E34+TAKTEKKERE!E27</f>
        <v>0</v>
      </c>
      <c r="F34" s="6">
        <f t="shared" si="7"/>
        <v>264.03745490608736</v>
      </c>
      <c r="G34" s="6">
        <f t="shared" si="7"/>
        <v>0</v>
      </c>
      <c r="H34" s="6">
        <f t="shared" si="8"/>
        <v>264.03745490608736</v>
      </c>
      <c r="I34" s="4">
        <v>10138026</v>
      </c>
      <c r="J34" s="55">
        <v>0</v>
      </c>
      <c r="K34" s="6">
        <v>256.42</v>
      </c>
      <c r="L34" s="7">
        <f t="shared" si="10"/>
        <v>-0.38049882689194131</v>
      </c>
      <c r="M34" s="7">
        <f t="shared" si="9"/>
        <v>2.9706945269820394E-2</v>
      </c>
    </row>
    <row r="35" spans="1:13" x14ac:dyDescent="0.25">
      <c r="A35" s="17" t="s">
        <v>10</v>
      </c>
      <c r="B35" s="4">
        <f>BETONG!B35+TØMRERE!B32+MALERE!B29+TAKTEKKERE!B29+MURERE!B30</f>
        <v>7333330.1699999999</v>
      </c>
      <c r="C35" s="4">
        <f>BETONG!C35+TØMRERE!C32+MALERE!C29+TAKTEKKERE!C29+MURERE!C30</f>
        <v>2353971.34</v>
      </c>
      <c r="D35" s="4">
        <f>BETONG!D35+TØMRERE!D32+MALERE!D29+TAKTEKKERE!D29+MURERE!D30</f>
        <v>26746.36</v>
      </c>
      <c r="E35" s="4">
        <f>BETONG!E35+TØMRERE!E32+MALERE!E29+TAKTEKKERE!E29+MURERE!E30</f>
        <v>15703.25</v>
      </c>
      <c r="F35" s="6">
        <f t="shared" si="7"/>
        <v>274.18049297175389</v>
      </c>
      <c r="G35" s="6">
        <f t="shared" si="7"/>
        <v>149.90344928597582</v>
      </c>
      <c r="H35" s="6">
        <f t="shared" si="8"/>
        <v>228.20707916986751</v>
      </c>
      <c r="I35" s="4">
        <v>14044133</v>
      </c>
      <c r="J35" s="55">
        <v>385742</v>
      </c>
      <c r="K35" s="6">
        <v>267.06</v>
      </c>
      <c r="L35" s="7">
        <f t="shared" si="10"/>
        <v>-0.4778367472025507</v>
      </c>
      <c r="M35" s="7">
        <f t="shared" si="9"/>
        <v>-0.14548386441298769</v>
      </c>
    </row>
    <row r="36" spans="1:13" x14ac:dyDescent="0.25">
      <c r="A36" s="17" t="s">
        <v>11</v>
      </c>
      <c r="B36" s="4">
        <f>BETONG!B36+TØMRERE!B33+MALERE!B30+RØRLEGGERE!B22+MURERE!B31+TAKTEKKERE!B31+'BLIKK OG VENTILASJON'!B18</f>
        <v>845073</v>
      </c>
      <c r="C36" s="4">
        <f>BETONG!C36+TØMRERE!C33+MALERE!C30+RØRLEGGERE!C22+MURERE!C31+TAKTEKKERE!C31+'BLIKK OG VENTILASJON'!C18</f>
        <v>0</v>
      </c>
      <c r="D36" s="4">
        <f>BETONG!D36+TØMRERE!D33+MALERE!D30+RØRLEGGERE!D22+MURERE!D31+TAKTEKKERE!D31+'BLIKK OG VENTILASJON'!D18</f>
        <v>3016</v>
      </c>
      <c r="E36" s="4">
        <f>BETONG!E36+TØMRERE!E33+MALERE!E30+RØRLEGGERE!E22+MURERE!E31+TAKTEKKERE!E31+'BLIKK OG VENTILASJON'!E18</f>
        <v>0</v>
      </c>
      <c r="F36" s="6">
        <f t="shared" si="7"/>
        <v>280.19661803713529</v>
      </c>
      <c r="G36" s="6">
        <f t="shared" si="7"/>
        <v>0</v>
      </c>
      <c r="H36" s="6">
        <f t="shared" si="8"/>
        <v>280.19661803713529</v>
      </c>
      <c r="I36" s="4">
        <v>485125</v>
      </c>
      <c r="J36" s="55">
        <v>0</v>
      </c>
      <c r="K36" s="6">
        <v>242.44</v>
      </c>
      <c r="L36" s="7">
        <f t="shared" si="10"/>
        <v>0.74196959546508634</v>
      </c>
      <c r="M36" s="7">
        <f t="shared" si="9"/>
        <v>0.15573592656795618</v>
      </c>
    </row>
    <row r="37" spans="1:13" x14ac:dyDescent="0.25">
      <c r="A37" s="17" t="s">
        <v>12</v>
      </c>
      <c r="B37" s="4">
        <f>BETONG!B37+MALERE!B31</f>
        <v>33046055.670000002</v>
      </c>
      <c r="C37" s="4">
        <f>BETONG!C37++MALERE!C31</f>
        <v>0</v>
      </c>
      <c r="D37" s="4">
        <f>BETONG!D37++MALERE!D31</f>
        <v>111644.78</v>
      </c>
      <c r="E37" s="4">
        <f>BETONG!E37++MALERE!E31</f>
        <v>0</v>
      </c>
      <c r="F37" s="6">
        <f t="shared" si="7"/>
        <v>295.99284149245494</v>
      </c>
      <c r="G37" s="6">
        <f t="shared" si="7"/>
        <v>0</v>
      </c>
      <c r="H37" s="6">
        <f t="shared" si="8"/>
        <v>295.99284149245494</v>
      </c>
      <c r="I37" s="4">
        <v>33858607</v>
      </c>
      <c r="J37" s="55">
        <v>0</v>
      </c>
      <c r="K37" s="6">
        <v>315.36</v>
      </c>
      <c r="L37" s="7">
        <f t="shared" si="10"/>
        <v>-2.3998368568441054E-2</v>
      </c>
      <c r="M37" s="7">
        <f t="shared" si="9"/>
        <v>-6.1412856759085074E-2</v>
      </c>
    </row>
    <row r="38" spans="1:13" x14ac:dyDescent="0.25">
      <c r="A38" s="17" t="s">
        <v>13</v>
      </c>
      <c r="B38" s="4">
        <f>BETONG!B38+TØMRERE!B34+RØRLEGGERE!B23+'BLIKK OG VENTILASJON'!B19+TAKTEKKERE!B32+MURERE!B32</f>
        <v>3939581</v>
      </c>
      <c r="C38" s="4">
        <f>BETONG!C38+TØMRERE!C34+RØRLEGGERE!C23+'BLIKK OG VENTILASJON'!C19+TAKTEKKERE!C32+MURERE!C32</f>
        <v>130812</v>
      </c>
      <c r="D38" s="4">
        <f>BETONG!D38+TØMRERE!D34+RØRLEGGERE!D23+'BLIKK OG VENTILASJON'!D19+TAKTEKKERE!D32+MURERE!D32</f>
        <v>12664</v>
      </c>
      <c r="E38" s="4">
        <f>BETONG!E38+TØMRERE!E34+RØRLEGGERE!E23+'BLIKK OG VENTILASJON'!E19+TAKTEKKERE!E32+MURERE!E32</f>
        <v>677</v>
      </c>
      <c r="F38" s="6">
        <f t="shared" si="7"/>
        <v>311.08504421983577</v>
      </c>
      <c r="G38" s="6">
        <f t="shared" si="7"/>
        <v>193.22304283604137</v>
      </c>
      <c r="H38" s="6">
        <f t="shared" si="8"/>
        <v>305.10404017689831</v>
      </c>
      <c r="I38" s="4">
        <v>5573604</v>
      </c>
      <c r="J38" s="55">
        <v>262724</v>
      </c>
      <c r="K38" s="6">
        <v>321.74</v>
      </c>
      <c r="L38" s="7">
        <f t="shared" si="10"/>
        <v>-0.29317170721134833</v>
      </c>
      <c r="M38" s="7">
        <f t="shared" si="9"/>
        <v>-5.1706221865797534E-2</v>
      </c>
    </row>
    <row r="39" spans="1:13" x14ac:dyDescent="0.25">
      <c r="A39" s="17" t="s">
        <v>14</v>
      </c>
      <c r="B39" s="4">
        <f>BETONG!B39+TØMRERE!B35+MALERE!B32+TAKTEKKERE!B33+MURERE!B34</f>
        <v>23983474.039999999</v>
      </c>
      <c r="C39" s="4">
        <f>BETONG!C39+TØMRERE!C35+MALERE!C32+TAKTEKKERE!C33+MURERE!C34</f>
        <v>179280</v>
      </c>
      <c r="D39" s="4">
        <f>BETONG!D39+TØMRERE!D35+MALERE!D32+TAKTEKKERE!D33+MURERE!D34</f>
        <v>80737.7</v>
      </c>
      <c r="E39" s="4">
        <f>BETONG!E39+TØMRERE!E35+MALERE!E32+TAKTEKKERE!E33+MURERE!E34</f>
        <v>878</v>
      </c>
      <c r="F39" s="6">
        <f t="shared" si="7"/>
        <v>297.05421432614503</v>
      </c>
      <c r="G39" s="6">
        <f t="shared" si="7"/>
        <v>204.19134396355352</v>
      </c>
      <c r="H39" s="6">
        <f t="shared" si="8"/>
        <v>296.05522025786706</v>
      </c>
      <c r="I39" s="4">
        <v>11346916</v>
      </c>
      <c r="J39" s="55"/>
      <c r="K39" s="6">
        <v>248.52</v>
      </c>
      <c r="L39" s="7">
        <f t="shared" si="10"/>
        <v>1.1136557316543103</v>
      </c>
      <c r="M39" s="7">
        <f t="shared" si="9"/>
        <v>0.19127321848489881</v>
      </c>
    </row>
    <row r="40" spans="1:13" x14ac:dyDescent="0.25">
      <c r="A40" s="17"/>
      <c r="B40" s="4">
        <f>BETONG!B40+MALERE!B33+RØRLEGGERE!B24+TØMRERE!B37+MURERE!B33</f>
        <v>0</v>
      </c>
      <c r="C40" s="4">
        <f>BETONG!C40+MALERE!C33+RØRLEGGERE!C24+TØMRERE!C37+MURERE!C33</f>
        <v>0</v>
      </c>
      <c r="D40" s="4">
        <f>BETONG!D40+MALERE!D33+RØRLEGGERE!D24+TØMRERE!D37+MURERE!D33</f>
        <v>0</v>
      </c>
      <c r="E40" s="4">
        <f>BETONG!E40+MALERE!E33+RØRLEGGERE!E24+TØMRERE!E37+MURERE!E33</f>
        <v>0</v>
      </c>
      <c r="F40" s="6">
        <f t="shared" si="7"/>
        <v>0</v>
      </c>
      <c r="G40" s="6">
        <f t="shared" si="7"/>
        <v>0</v>
      </c>
      <c r="H40" s="6">
        <f t="shared" si="8"/>
        <v>0</v>
      </c>
      <c r="I40" s="4"/>
      <c r="J40" s="55">
        <v>0</v>
      </c>
      <c r="K40" s="6"/>
      <c r="L40" s="7">
        <f t="shared" si="10"/>
        <v>0</v>
      </c>
      <c r="M40" s="7"/>
    </row>
    <row r="41" spans="1:13" x14ac:dyDescent="0.25">
      <c r="A41" s="17" t="s">
        <v>16</v>
      </c>
      <c r="B41" s="4">
        <f>BETONG!B41+TØMRERE!B36+MALERE!B34+RØRLEGGERE!B25+TAKTEKKERE!B34+MURERE!B35</f>
        <v>171118890.53</v>
      </c>
      <c r="C41" s="4">
        <f>BETONG!C41+TØMRERE!C36+MALERE!C34+RØRLEGGERE!C25+TAKTEKKERE!C34+MURERE!C35</f>
        <v>12366765.16</v>
      </c>
      <c r="D41" s="4">
        <f>BETONG!D41+TØMRERE!D36+MALERE!D34+RØRLEGGERE!D25+TAKTEKKERE!D34+MURERE!D35</f>
        <v>588911.74</v>
      </c>
      <c r="E41" s="4">
        <f>BETONG!E41+TØMRERE!E36+MALERE!E34+RØRLEGGERE!E25+TAKTEKKERE!E34+MURERE!E35</f>
        <v>64970.559999999998</v>
      </c>
      <c r="F41" s="6">
        <f t="shared" si="7"/>
        <v>290.5679729359785</v>
      </c>
      <c r="G41" s="6">
        <f t="shared" si="7"/>
        <v>190.34413679057101</v>
      </c>
      <c r="H41" s="6">
        <f t="shared" si="8"/>
        <v>280.60960770768679</v>
      </c>
      <c r="I41" s="4">
        <v>145175352</v>
      </c>
      <c r="J41" s="55">
        <v>11017593</v>
      </c>
      <c r="K41" s="6">
        <v>265.57</v>
      </c>
      <c r="L41" s="7">
        <f t="shared" si="10"/>
        <v>0.178704843298744</v>
      </c>
      <c r="M41" s="7">
        <f t="shared" si="9"/>
        <v>5.6631425641777304E-2</v>
      </c>
    </row>
    <row r="42" spans="1:13" x14ac:dyDescent="0.25">
      <c r="A42" s="17" t="s">
        <v>17</v>
      </c>
      <c r="B42" s="4">
        <f>BETONG!B42+TØMRERE!B38+MALERE!B35+MURERE!B36+TAKTEKKERE!B35</f>
        <v>4474365</v>
      </c>
      <c r="C42" s="4">
        <f>BETONG!C42+TØMRERE!C38+MALERE!C35+MURERE!C36+TAKTEKKERE!C35</f>
        <v>1732422</v>
      </c>
      <c r="D42" s="4">
        <f>BETONG!D42+TØMRERE!D38+MALERE!D35+MURERE!D36+TAKTEKKERE!D35</f>
        <v>16746</v>
      </c>
      <c r="E42" s="4">
        <f>BETONG!E42+TØMRERE!E38+MALERE!E35+MURERE!E36+TAKTEKKERE!E35</f>
        <v>8357</v>
      </c>
      <c r="F42" s="6">
        <f>IF(D42=0,0,B42/D42)</f>
        <v>267.19007524184877</v>
      </c>
      <c r="G42" s="6">
        <f t="shared" si="7"/>
        <v>207.30190259662558</v>
      </c>
      <c r="H42" s="6">
        <f t="shared" si="8"/>
        <v>247.25279847030237</v>
      </c>
      <c r="I42" s="4">
        <v>2656616</v>
      </c>
      <c r="J42" s="55">
        <v>1644948</v>
      </c>
      <c r="K42" s="6">
        <v>233.41</v>
      </c>
      <c r="L42" s="7">
        <f t="shared" si="10"/>
        <v>0.68423475579458981</v>
      </c>
      <c r="M42" s="7">
        <f t="shared" si="9"/>
        <v>5.9306792640856733E-2</v>
      </c>
    </row>
    <row r="43" spans="1:13" x14ac:dyDescent="0.25">
      <c r="A43" s="17" t="s">
        <v>18</v>
      </c>
      <c r="B43" s="4">
        <f>BETONG!B66+TØMRERE!B39+MURERE!B38</f>
        <v>11588247.4</v>
      </c>
      <c r="C43" s="4">
        <f>BETONG!C66+TØMRERE!C39+MURERE!C38</f>
        <v>1888488.5</v>
      </c>
      <c r="D43" s="4">
        <f>BETONG!D66+TØMRERE!D39+MURERE!D38</f>
        <v>40663.5</v>
      </c>
      <c r="E43" s="4">
        <f>BETONG!E43+TØMRERE!E39+MURERE!E38</f>
        <v>6558</v>
      </c>
      <c r="F43" s="6">
        <f t="shared" si="7"/>
        <v>284.97909427373446</v>
      </c>
      <c r="G43" s="6">
        <f t="shared" si="7"/>
        <v>287.96713937175969</v>
      </c>
      <c r="H43" s="6">
        <f t="shared" si="8"/>
        <v>285.39406626218988</v>
      </c>
      <c r="I43" s="4">
        <v>9240391</v>
      </c>
      <c r="J43" s="55">
        <v>872161</v>
      </c>
      <c r="K43" s="6">
        <v>290.20999999999998</v>
      </c>
      <c r="L43" s="7">
        <f t="shared" si="10"/>
        <v>0.25408626106838988</v>
      </c>
      <c r="M43" s="7">
        <f t="shared" si="9"/>
        <v>-1.6594651244995345E-2</v>
      </c>
    </row>
    <row r="44" spans="1:13" x14ac:dyDescent="0.25">
      <c r="A44" s="17" t="s">
        <v>19</v>
      </c>
      <c r="B44" s="4">
        <f>BETONG!B44+TØMRERE!B40+MALERE!B36+RØRLEGGERE!B26+'BLIKK OG VENTILASJON'!B20+TAKTEKKERE!B36+MURERE!B37+ISOLATØR!B8</f>
        <v>96770586.75</v>
      </c>
      <c r="C44" s="4">
        <f>BETONG!C44+TØMRERE!C40+MALERE!C36+RØRLEGGERE!C26+'BLIKK OG VENTILASJON'!C20+TAKTEKKERE!C36+MURERE!C37+ISOLATØR!C8</f>
        <v>4434277.09</v>
      </c>
      <c r="D44" s="4">
        <f>BETONG!D44+TØMRERE!D40+MALERE!D36+RØRLEGGERE!D26+'BLIKK OG VENTILASJON'!D20+TAKTEKKERE!D36+MURERE!D37+ISOLATØR!D8</f>
        <v>311120.90000000002</v>
      </c>
      <c r="E44" s="4">
        <f>BETONG!E44+TØMRERE!E40+MALERE!E36+RØRLEGGERE!E26+'BLIKK OG VENTILASJON'!E20+TAKTEKKERE!E36+MURERE!E37+ISOLATØR!E8</f>
        <v>24683.5</v>
      </c>
      <c r="F44" s="6">
        <f t="shared" si="7"/>
        <v>311.03852794845989</v>
      </c>
      <c r="G44" s="6">
        <f t="shared" si="7"/>
        <v>179.64539429173334</v>
      </c>
      <c r="H44" s="6">
        <f t="shared" si="8"/>
        <v>301.38039835094474</v>
      </c>
      <c r="I44" s="4">
        <v>54529579</v>
      </c>
      <c r="J44" s="55">
        <v>6405994</v>
      </c>
      <c r="K44" s="6">
        <v>270.11</v>
      </c>
      <c r="L44" s="7">
        <f t="shared" si="10"/>
        <v>0.77464393682555299</v>
      </c>
      <c r="M44" s="7">
        <f t="shared" si="9"/>
        <v>0.11576912498961434</v>
      </c>
    </row>
    <row r="45" spans="1:13" s="11" customFormat="1" x14ac:dyDescent="0.25">
      <c r="A45" s="18" t="s">
        <v>20</v>
      </c>
      <c r="B45" s="8">
        <f>SUM(B30:B44)</f>
        <v>396654054.86000001</v>
      </c>
      <c r="C45" s="8">
        <f>SUM(C30:C44)</f>
        <v>24161544.09</v>
      </c>
      <c r="D45" s="8">
        <f>SUM(D30:D44)</f>
        <v>1353182.94</v>
      </c>
      <c r="E45" s="8">
        <f>SUM(E30:E44)</f>
        <v>126934.31</v>
      </c>
      <c r="F45" s="9">
        <f>IF(D45=0,0,B45/D45)</f>
        <v>293.12670381434162</v>
      </c>
      <c r="G45" s="9">
        <f t="shared" si="7"/>
        <v>190.34683443743461</v>
      </c>
      <c r="H45" s="9">
        <f t="shared" si="8"/>
        <v>284.31234008657083</v>
      </c>
      <c r="I45" s="56">
        <f>SUM(I30:I44)</f>
        <v>328058310.73000002</v>
      </c>
      <c r="J45" s="56">
        <f>SUM(J30:J44)</f>
        <v>21078225</v>
      </c>
      <c r="K45" s="31">
        <v>271.85000000000002</v>
      </c>
      <c r="L45" s="10">
        <f t="shared" si="10"/>
        <v>0.20909619383627187</v>
      </c>
      <c r="M45" s="10">
        <f t="shared" si="9"/>
        <v>4.5842707693841474E-2</v>
      </c>
    </row>
    <row r="48" spans="1:13" ht="20.25" x14ac:dyDescent="0.3">
      <c r="A48" s="20" t="str">
        <f>"MÅLESTATISTIKK FOR ALLE BYGGFAG - GJENNOMSNITT HELE ÅRET  "&amp;FORS!$A$14</f>
        <v>MÅLESTATISTIKK FOR ALLE BYGGFAG - GJENNOMSNITT HELE ÅRET  2016</v>
      </c>
    </row>
    <row r="49" spans="1:1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5"/>
      <c r="B50" s="2" t="s">
        <v>4</v>
      </c>
      <c r="C50" s="3"/>
      <c r="D50" s="2" t="s">
        <v>5</v>
      </c>
      <c r="E50" s="3"/>
      <c r="F50" s="2" t="str">
        <f>"Fortjeneste hele  "&amp;FORS!$A$14-0</f>
        <v>Fortjeneste hele  2016</v>
      </c>
      <c r="G50" s="5"/>
      <c r="H50" s="3"/>
      <c r="I50" s="2" t="str">
        <f>" Hele året  "&amp;FORS!$A$14-1</f>
        <v xml:space="preserve"> Hele året  2015</v>
      </c>
      <c r="J50" s="5"/>
      <c r="K50" s="3"/>
      <c r="L50" s="47" t="s">
        <v>29</v>
      </c>
      <c r="M50" s="3"/>
    </row>
    <row r="51" spans="1:13" x14ac:dyDescent="0.25">
      <c r="A51" s="48"/>
      <c r="B51" s="49" t="s">
        <v>6</v>
      </c>
      <c r="C51" s="49" t="s">
        <v>6</v>
      </c>
      <c r="D51" s="49" t="s">
        <v>6</v>
      </c>
      <c r="E51" s="49" t="s">
        <v>6</v>
      </c>
      <c r="F51" s="49" t="s">
        <v>6</v>
      </c>
      <c r="G51" s="49" t="s">
        <v>6</v>
      </c>
      <c r="H51" s="50" t="s">
        <v>33</v>
      </c>
      <c r="I51" s="49" t="s">
        <v>6</v>
      </c>
      <c r="J51" s="49" t="s">
        <v>6</v>
      </c>
      <c r="K51" s="50" t="s">
        <v>31</v>
      </c>
      <c r="L51" s="49" t="s">
        <v>6</v>
      </c>
      <c r="M51" s="50" t="s">
        <v>31</v>
      </c>
    </row>
    <row r="52" spans="1:13" x14ac:dyDescent="0.25">
      <c r="A52" s="52"/>
      <c r="B52" s="53" t="s">
        <v>30</v>
      </c>
      <c r="C52" s="53" t="s">
        <v>32</v>
      </c>
      <c r="D52" s="53" t="s">
        <v>30</v>
      </c>
      <c r="E52" s="53" t="s">
        <v>32</v>
      </c>
      <c r="F52" s="53" t="s">
        <v>30</v>
      </c>
      <c r="G52" s="53" t="s">
        <v>32</v>
      </c>
      <c r="H52" s="54" t="s">
        <v>34</v>
      </c>
      <c r="I52" s="53" t="s">
        <v>30</v>
      </c>
      <c r="J52" s="53" t="s">
        <v>32</v>
      </c>
      <c r="K52" s="54" t="s">
        <v>28</v>
      </c>
      <c r="L52" s="53" t="s">
        <v>30</v>
      </c>
      <c r="M52" s="54" t="s">
        <v>28</v>
      </c>
    </row>
    <row r="53" spans="1:13" x14ac:dyDescent="0.25">
      <c r="A53" s="17" t="s">
        <v>25</v>
      </c>
      <c r="B53" s="4">
        <f t="shared" ref="B53:E53" si="11">B7+B30</f>
        <v>11097166</v>
      </c>
      <c r="C53" s="4">
        <f t="shared" si="11"/>
        <v>1364247</v>
      </c>
      <c r="D53" s="4">
        <f t="shared" si="11"/>
        <v>40318.5</v>
      </c>
      <c r="E53" s="4">
        <f t="shared" si="11"/>
        <v>6566</v>
      </c>
      <c r="F53" s="6">
        <f t="shared" ref="F53:G68" si="12">IF(D53=0,0,B53/D53)</f>
        <v>275.23757084216925</v>
      </c>
      <c r="G53" s="6">
        <f t="shared" si="12"/>
        <v>207.7744441060006</v>
      </c>
      <c r="H53" s="6">
        <f t="shared" ref="H53:H66" si="13">IF(D53+E53=0,0,(B53+C53)/(D53+E53))</f>
        <v>265.78961063891052</v>
      </c>
      <c r="I53" s="55">
        <v>21303347</v>
      </c>
      <c r="J53" s="55">
        <v>489063</v>
      </c>
      <c r="K53" s="6">
        <v>268</v>
      </c>
      <c r="L53" s="7">
        <f>IF(I53=0,0,(B53-I53)/I53)</f>
        <v>-0.4790881451632929</v>
      </c>
      <c r="M53" s="7">
        <f>(H53-K53)/K53</f>
        <v>-8.2477214966025485E-3</v>
      </c>
    </row>
    <row r="54" spans="1:13" x14ac:dyDescent="0.25">
      <c r="A54" s="17" t="s">
        <v>7</v>
      </c>
      <c r="B54" s="4">
        <f t="shared" ref="B54:E54" si="14">B8+B31</f>
        <v>62427230.93</v>
      </c>
      <c r="C54" s="4">
        <f t="shared" si="14"/>
        <v>0</v>
      </c>
      <c r="D54" s="4">
        <f t="shared" si="14"/>
        <v>230581.93</v>
      </c>
      <c r="E54" s="4">
        <f t="shared" si="14"/>
        <v>0</v>
      </c>
      <c r="F54" s="6">
        <f t="shared" si="12"/>
        <v>270.7377413746168</v>
      </c>
      <c r="G54" s="6">
        <f t="shared" si="12"/>
        <v>0</v>
      </c>
      <c r="H54" s="6">
        <f t="shared" si="13"/>
        <v>270.7377413746168</v>
      </c>
      <c r="I54" s="55">
        <v>75439489</v>
      </c>
      <c r="J54" s="55">
        <v>0</v>
      </c>
      <c r="K54" s="6">
        <v>271.39</v>
      </c>
      <c r="L54" s="7">
        <f t="shared" ref="L54:L68" si="15">IF(I54=0,0,(B54-I54)/I54)</f>
        <v>-0.17248603142049385</v>
      </c>
      <c r="M54" s="7">
        <f t="shared" ref="M54:M67" si="16">(H54-K54)/K54</f>
        <v>-2.4033996292537798E-3</v>
      </c>
    </row>
    <row r="55" spans="1:13" x14ac:dyDescent="0.25">
      <c r="A55" s="17" t="s">
        <v>26</v>
      </c>
      <c r="B55" s="4">
        <f t="shared" ref="B55:E55" si="17">B9+B32</f>
        <v>0</v>
      </c>
      <c r="C55" s="4">
        <f t="shared" si="17"/>
        <v>0</v>
      </c>
      <c r="D55" s="4">
        <f t="shared" si="17"/>
        <v>0</v>
      </c>
      <c r="E55" s="4">
        <f t="shared" si="17"/>
        <v>0</v>
      </c>
      <c r="F55" s="6">
        <f t="shared" si="12"/>
        <v>0</v>
      </c>
      <c r="G55" s="6">
        <f t="shared" si="12"/>
        <v>0</v>
      </c>
      <c r="H55" s="6">
        <f t="shared" si="13"/>
        <v>0</v>
      </c>
      <c r="I55" s="55">
        <v>4188999</v>
      </c>
      <c r="J55" s="55">
        <v>0</v>
      </c>
      <c r="K55" s="6">
        <v>360.74</v>
      </c>
      <c r="L55" s="7">
        <f t="shared" si="15"/>
        <v>-1</v>
      </c>
      <c r="M55" s="7">
        <f t="shared" si="16"/>
        <v>-1</v>
      </c>
    </row>
    <row r="56" spans="1:13" x14ac:dyDescent="0.25">
      <c r="A56" s="17"/>
      <c r="B56" s="4">
        <f t="shared" ref="B56:E56" si="18">B10+B33</f>
        <v>0</v>
      </c>
      <c r="C56" s="4">
        <f t="shared" si="18"/>
        <v>0</v>
      </c>
      <c r="D56" s="4">
        <f t="shared" si="18"/>
        <v>0</v>
      </c>
      <c r="E56" s="4">
        <f t="shared" si="18"/>
        <v>0</v>
      </c>
      <c r="F56" s="6">
        <f t="shared" si="12"/>
        <v>0</v>
      </c>
      <c r="G56" s="6">
        <f t="shared" si="12"/>
        <v>0</v>
      </c>
      <c r="H56" s="6">
        <f t="shared" si="13"/>
        <v>0</v>
      </c>
      <c r="I56" s="55">
        <v>1966967</v>
      </c>
      <c r="J56" s="55">
        <v>0</v>
      </c>
      <c r="K56" s="6">
        <v>291.58</v>
      </c>
      <c r="L56" s="7">
        <f t="shared" si="15"/>
        <v>-1</v>
      </c>
      <c r="M56" s="7">
        <f t="shared" si="16"/>
        <v>-1</v>
      </c>
    </row>
    <row r="57" spans="1:13" x14ac:dyDescent="0.25">
      <c r="A57" s="17" t="s">
        <v>9</v>
      </c>
      <c r="B57" s="4">
        <f t="shared" ref="B57:E57" si="19">B11+B34</f>
        <v>13462564</v>
      </c>
      <c r="C57" s="4">
        <f t="shared" si="19"/>
        <v>0</v>
      </c>
      <c r="D57" s="4">
        <f t="shared" si="19"/>
        <v>51547.39</v>
      </c>
      <c r="E57" s="4">
        <f t="shared" si="19"/>
        <v>0</v>
      </c>
      <c r="F57" s="6">
        <f t="shared" si="12"/>
        <v>261.16868380726942</v>
      </c>
      <c r="G57" s="6">
        <f t="shared" si="12"/>
        <v>0</v>
      </c>
      <c r="H57" s="6">
        <f t="shared" si="13"/>
        <v>261.16868380726942</v>
      </c>
      <c r="I57" s="55">
        <v>16927742</v>
      </c>
      <c r="J57" s="55">
        <v>0</v>
      </c>
      <c r="K57" s="6">
        <v>255.65</v>
      </c>
      <c r="L57" s="7">
        <f t="shared" si="15"/>
        <v>-0.20470408870834633</v>
      </c>
      <c r="M57" s="7">
        <f t="shared" si="16"/>
        <v>2.158687192360419E-2</v>
      </c>
    </row>
    <row r="58" spans="1:13" x14ac:dyDescent="0.25">
      <c r="A58" s="17" t="s">
        <v>10</v>
      </c>
      <c r="B58" s="4">
        <f t="shared" ref="B58:E58" si="20">B12+B35</f>
        <v>21844867.880000003</v>
      </c>
      <c r="C58" s="4">
        <f t="shared" si="20"/>
        <v>2981120.9299999997</v>
      </c>
      <c r="D58" s="4">
        <f t="shared" si="20"/>
        <v>75721.69</v>
      </c>
      <c r="E58" s="4">
        <f t="shared" si="20"/>
        <v>19184.75</v>
      </c>
      <c r="F58" s="6">
        <f t="shared" si="12"/>
        <v>288.48891090518453</v>
      </c>
      <c r="G58" s="6">
        <f t="shared" si="12"/>
        <v>155.39013695773986</v>
      </c>
      <c r="H58" s="6">
        <f t="shared" si="13"/>
        <v>261.58381675679755</v>
      </c>
      <c r="I58" s="55">
        <v>23599667</v>
      </c>
      <c r="J58" s="55">
        <v>1209402</v>
      </c>
      <c r="K58" s="6">
        <v>265.76</v>
      </c>
      <c r="L58" s="7">
        <f t="shared" si="15"/>
        <v>-7.435694410433831E-2</v>
      </c>
      <c r="M58" s="7">
        <f t="shared" si="16"/>
        <v>-1.5714115153531175E-2</v>
      </c>
    </row>
    <row r="59" spans="1:13" x14ac:dyDescent="0.25">
      <c r="A59" s="17" t="s">
        <v>11</v>
      </c>
      <c r="B59" s="4">
        <f t="shared" ref="B59:E67" si="21">B13+B36</f>
        <v>3386427</v>
      </c>
      <c r="C59" s="4">
        <f t="shared" si="21"/>
        <v>1693791</v>
      </c>
      <c r="D59" s="4">
        <f t="shared" si="21"/>
        <v>13766</v>
      </c>
      <c r="E59" s="4">
        <f t="shared" si="21"/>
        <v>8251</v>
      </c>
      <c r="F59" s="6">
        <f t="shared" si="12"/>
        <v>245.9993462153131</v>
      </c>
      <c r="G59" s="6">
        <f t="shared" si="12"/>
        <v>205.2831171979154</v>
      </c>
      <c r="H59" s="6">
        <f t="shared" si="13"/>
        <v>230.74070036789755</v>
      </c>
      <c r="I59" s="55">
        <v>7855496</v>
      </c>
      <c r="J59" s="55">
        <v>675503</v>
      </c>
      <c r="K59" s="6">
        <v>302.11</v>
      </c>
      <c r="L59" s="7">
        <f t="shared" si="15"/>
        <v>-0.56890984350319829</v>
      </c>
      <c r="M59" s="7">
        <f t="shared" si="16"/>
        <v>-0.23623613793685236</v>
      </c>
    </row>
    <row r="60" spans="1:13" x14ac:dyDescent="0.25">
      <c r="A60" s="17" t="s">
        <v>12</v>
      </c>
      <c r="B60" s="4">
        <f t="shared" si="21"/>
        <v>59408568.829999998</v>
      </c>
      <c r="C60" s="4">
        <f t="shared" si="21"/>
        <v>0</v>
      </c>
      <c r="D60" s="4">
        <f t="shared" si="21"/>
        <v>200565.97</v>
      </c>
      <c r="E60" s="4">
        <f t="shared" si="21"/>
        <v>0</v>
      </c>
      <c r="F60" s="6">
        <f t="shared" si="12"/>
        <v>296.20462947926808</v>
      </c>
      <c r="G60" s="6">
        <f t="shared" si="12"/>
        <v>0</v>
      </c>
      <c r="H60" s="6">
        <f t="shared" si="13"/>
        <v>296.20462947926808</v>
      </c>
      <c r="I60" s="55">
        <v>74597382</v>
      </c>
      <c r="J60" s="55">
        <v>0</v>
      </c>
      <c r="K60" s="6">
        <v>318.52999999999997</v>
      </c>
      <c r="L60" s="7">
        <f t="shared" si="15"/>
        <v>-0.20361053917414959</v>
      </c>
      <c r="M60" s="7">
        <f t="shared" si="16"/>
        <v>-7.0088753086779573E-2</v>
      </c>
    </row>
    <row r="61" spans="1:13" x14ac:dyDescent="0.25">
      <c r="A61" s="17" t="s">
        <v>13</v>
      </c>
      <c r="B61" s="4">
        <f t="shared" si="21"/>
        <v>8368419</v>
      </c>
      <c r="C61" s="4">
        <f t="shared" si="21"/>
        <v>226322</v>
      </c>
      <c r="D61" s="4">
        <f t="shared" si="21"/>
        <v>26528.5</v>
      </c>
      <c r="E61" s="4">
        <f t="shared" si="21"/>
        <v>1236</v>
      </c>
      <c r="F61" s="6">
        <f t="shared" si="12"/>
        <v>315.45013853025989</v>
      </c>
      <c r="G61" s="6">
        <f t="shared" si="12"/>
        <v>183.10841423948219</v>
      </c>
      <c r="H61" s="6">
        <f t="shared" si="13"/>
        <v>309.55864503232544</v>
      </c>
      <c r="I61" s="55">
        <v>12931392</v>
      </c>
      <c r="J61" s="55">
        <v>467693</v>
      </c>
      <c r="K61" s="6">
        <v>294.10000000000002</v>
      </c>
      <c r="L61" s="7">
        <f t="shared" si="15"/>
        <v>-0.35286015612240351</v>
      </c>
      <c r="M61" s="7">
        <f t="shared" si="16"/>
        <v>5.256254686271819E-2</v>
      </c>
    </row>
    <row r="62" spans="1:13" x14ac:dyDescent="0.25">
      <c r="A62" s="17" t="s">
        <v>14</v>
      </c>
      <c r="B62" s="4">
        <f t="shared" si="21"/>
        <v>39647561.57</v>
      </c>
      <c r="C62" s="4">
        <f t="shared" si="21"/>
        <v>548388</v>
      </c>
      <c r="D62" s="4">
        <f t="shared" si="21"/>
        <v>136791.63</v>
      </c>
      <c r="E62" s="4">
        <f t="shared" si="21"/>
        <v>1556</v>
      </c>
      <c r="F62" s="6">
        <f t="shared" si="12"/>
        <v>289.83909008175425</v>
      </c>
      <c r="G62" s="6">
        <f t="shared" si="12"/>
        <v>352.43444730077118</v>
      </c>
      <c r="H62" s="6">
        <f t="shared" si="13"/>
        <v>290.54310196712441</v>
      </c>
      <c r="I62" s="55">
        <v>23005099</v>
      </c>
      <c r="J62" s="55">
        <v>424120</v>
      </c>
      <c r="K62" s="6">
        <v>256.02</v>
      </c>
      <c r="L62" s="7">
        <f t="shared" si="15"/>
        <v>0.72342494896457521</v>
      </c>
      <c r="M62" s="7">
        <f t="shared" si="16"/>
        <v>0.13484533226749643</v>
      </c>
    </row>
    <row r="63" spans="1:13" x14ac:dyDescent="0.25">
      <c r="A63" s="17" t="s">
        <v>15</v>
      </c>
      <c r="B63" s="4">
        <f t="shared" si="21"/>
        <v>0</v>
      </c>
      <c r="C63" s="4">
        <f t="shared" si="21"/>
        <v>0</v>
      </c>
      <c r="D63" s="4">
        <f t="shared" si="21"/>
        <v>0</v>
      </c>
      <c r="E63" s="4">
        <f t="shared" si="21"/>
        <v>0</v>
      </c>
      <c r="F63" s="6">
        <f t="shared" si="12"/>
        <v>0</v>
      </c>
      <c r="G63" s="6">
        <f t="shared" si="12"/>
        <v>0</v>
      </c>
      <c r="H63" s="6">
        <f t="shared" si="13"/>
        <v>0</v>
      </c>
      <c r="I63" s="55">
        <v>1444903</v>
      </c>
      <c r="J63" s="55">
        <v>0</v>
      </c>
      <c r="K63" s="6">
        <v>248.55</v>
      </c>
      <c r="L63" s="7">
        <f t="shared" si="15"/>
        <v>-1</v>
      </c>
      <c r="M63" s="7">
        <f t="shared" si="16"/>
        <v>-1</v>
      </c>
    </row>
    <row r="64" spans="1:13" x14ac:dyDescent="0.25">
      <c r="A64" s="17" t="s">
        <v>16</v>
      </c>
      <c r="B64" s="4">
        <f>B18+B41</f>
        <v>307983652.03999996</v>
      </c>
      <c r="C64" s="4">
        <f t="shared" si="21"/>
        <v>24323324.98</v>
      </c>
      <c r="D64" s="4">
        <f t="shared" si="21"/>
        <v>1063170.86632</v>
      </c>
      <c r="E64" s="4">
        <f t="shared" si="21"/>
        <v>128173.00425</v>
      </c>
      <c r="F64" s="6">
        <f t="shared" si="12"/>
        <v>289.68405906948647</v>
      </c>
      <c r="G64" s="6">
        <f t="shared" si="12"/>
        <v>189.76948478602895</v>
      </c>
      <c r="H64" s="6">
        <f t="shared" si="13"/>
        <v>278.93455888685378</v>
      </c>
      <c r="I64" s="55">
        <v>273703631</v>
      </c>
      <c r="J64" s="55">
        <v>16190480</v>
      </c>
      <c r="K64" s="6">
        <v>270.02999999999997</v>
      </c>
      <c r="L64" s="7">
        <f t="shared" si="15"/>
        <v>0.1252450357152915</v>
      </c>
      <c r="M64" s="7">
        <f t="shared" si="16"/>
        <v>3.2976183708676096E-2</v>
      </c>
    </row>
    <row r="65" spans="1:13" x14ac:dyDescent="0.25">
      <c r="A65" s="17" t="s">
        <v>17</v>
      </c>
      <c r="B65" s="4">
        <f>B19+B42</f>
        <v>11312381</v>
      </c>
      <c r="C65" s="4">
        <f t="shared" si="21"/>
        <v>1732422</v>
      </c>
      <c r="D65" s="4">
        <f t="shared" si="21"/>
        <v>39287</v>
      </c>
      <c r="E65" s="4">
        <f>E19+E42</f>
        <v>8357</v>
      </c>
      <c r="F65" s="6">
        <f t="shared" si="12"/>
        <v>287.94209280423547</v>
      </c>
      <c r="G65" s="6">
        <f>IF(E65=0,0,C65/E65)</f>
        <v>207.30190259662558</v>
      </c>
      <c r="H65" s="6">
        <f t="shared" si="13"/>
        <v>273.79739316598102</v>
      </c>
      <c r="I65" s="55">
        <v>11171399</v>
      </c>
      <c r="J65" s="55">
        <v>2080284</v>
      </c>
      <c r="K65" s="6">
        <v>238.83</v>
      </c>
      <c r="L65" s="7">
        <f t="shared" si="15"/>
        <v>1.261990552839443E-2</v>
      </c>
      <c r="M65" s="7">
        <f t="shared" si="16"/>
        <v>0.14641122625290376</v>
      </c>
    </row>
    <row r="66" spans="1:13" x14ac:dyDescent="0.25">
      <c r="A66" s="17" t="s">
        <v>18</v>
      </c>
      <c r="B66" s="4">
        <f t="shared" si="21"/>
        <v>21674395.399999999</v>
      </c>
      <c r="C66" s="4">
        <f t="shared" si="21"/>
        <v>9226708.0399999991</v>
      </c>
      <c r="D66" s="4">
        <f t="shared" si="21"/>
        <v>127986.5</v>
      </c>
      <c r="E66" s="4">
        <f t="shared" si="21"/>
        <v>10013</v>
      </c>
      <c r="F66" s="6">
        <f t="shared" si="12"/>
        <v>169.3490750977642</v>
      </c>
      <c r="G66" s="6">
        <f t="shared" si="12"/>
        <v>921.47288924398276</v>
      </c>
      <c r="H66" s="6">
        <f t="shared" si="13"/>
        <v>223.9218507313432</v>
      </c>
      <c r="I66" s="55">
        <v>25686303</v>
      </c>
      <c r="J66" s="55">
        <v>3802314</v>
      </c>
      <c r="K66" s="6">
        <v>271.44</v>
      </c>
      <c r="L66" s="7">
        <f t="shared" si="15"/>
        <v>-0.15618859592211465</v>
      </c>
      <c r="M66" s="7">
        <f t="shared" si="16"/>
        <v>-0.17505949480053346</v>
      </c>
    </row>
    <row r="67" spans="1:13" x14ac:dyDescent="0.25">
      <c r="A67" s="17" t="s">
        <v>19</v>
      </c>
      <c r="B67" s="4">
        <f>B21+B44</f>
        <v>186914916.84</v>
      </c>
      <c r="C67" s="4">
        <f t="shared" si="21"/>
        <v>7300895.3099999996</v>
      </c>
      <c r="D67" s="4">
        <f t="shared" si="21"/>
        <v>631225.74</v>
      </c>
      <c r="E67" s="4">
        <f t="shared" si="21"/>
        <v>42345.5</v>
      </c>
      <c r="F67" s="6">
        <f t="shared" si="12"/>
        <v>296.11421872625158</v>
      </c>
      <c r="G67" s="6">
        <f t="shared" si="12"/>
        <v>172.41254230083479</v>
      </c>
      <c r="H67" s="6">
        <f>IF(D67+E67=0,0,(B67+C67)/(D67+E67))</f>
        <v>288.33744764696308</v>
      </c>
      <c r="I67" s="55">
        <v>125100601</v>
      </c>
      <c r="J67" s="55">
        <v>6694972</v>
      </c>
      <c r="K67" s="6">
        <v>280.95</v>
      </c>
      <c r="L67" s="7">
        <f t="shared" si="15"/>
        <v>0.49411685752013296</v>
      </c>
      <c r="M67" s="7">
        <f t="shared" si="16"/>
        <v>2.6294528019089148E-2</v>
      </c>
    </row>
    <row r="68" spans="1:13" s="11" customFormat="1" x14ac:dyDescent="0.25">
      <c r="A68" s="18" t="s">
        <v>20</v>
      </c>
      <c r="B68" s="8">
        <f>SUM(B53:B67)</f>
        <v>747528150.49000001</v>
      </c>
      <c r="C68" s="8">
        <f>SUM(C53:C67)</f>
        <v>49397219.260000005</v>
      </c>
      <c r="D68" s="8">
        <f>SUM(D53:D67)</f>
        <v>2637491.7163199997</v>
      </c>
      <c r="E68" s="8">
        <f>SUM(E53:E67)</f>
        <v>225682.25425</v>
      </c>
      <c r="F68" s="9">
        <f>IF(D68=0,0,B68/D68)</f>
        <v>283.42388560484278</v>
      </c>
      <c r="G68" s="9">
        <f t="shared" si="12"/>
        <v>218.87950128892336</v>
      </c>
      <c r="H68" s="9">
        <f>IF(D68+E68=0,0,(B68+C68)/(D68+E68))</f>
        <v>278.33634209497524</v>
      </c>
      <c r="I68" s="56">
        <f>SUM(I53:I67)</f>
        <v>698922417</v>
      </c>
      <c r="J68" s="56">
        <f>SUM(J53:J67)</f>
        <v>32033831</v>
      </c>
      <c r="K68" s="31">
        <v>275.89999999999998</v>
      </c>
      <c r="L68" s="32">
        <f t="shared" si="15"/>
        <v>6.9543818180323166E-2</v>
      </c>
      <c r="M68" s="32">
        <f>(H68-K68)/K68</f>
        <v>8.8305258969744831E-3</v>
      </c>
    </row>
    <row r="70" spans="1:13" x14ac:dyDescent="0.25">
      <c r="B70" s="38"/>
      <c r="I70" s="38"/>
    </row>
    <row r="71" spans="1:13" x14ac:dyDescent="0.25">
      <c r="B71" s="3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7" orientation="landscape" r:id="rId1"/>
  <headerFooter alignWithMargins="0">
    <oddFooter>&amp;L&amp;9FORH.AVD./&amp;D/&amp;T/&amp;F</oddFooter>
  </headerFooter>
  <rowBreaks count="2" manualBreakCount="2">
    <brk id="23" max="16383" man="1"/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3"/>
  <sheetViews>
    <sheetView showZeros="0" topLeftCell="A16" zoomScale="84" zoomScaleNormal="84" workbookViewId="0">
      <selection activeCell="K51" sqref="K51"/>
    </sheetView>
  </sheetViews>
  <sheetFormatPr baseColWidth="10" defaultColWidth="9" defaultRowHeight="15.75" x14ac:dyDescent="0.25"/>
  <cols>
    <col min="1" max="1" width="14.875" style="14" customWidth="1"/>
    <col min="2" max="2" width="15.375" customWidth="1"/>
    <col min="3" max="3" width="11.75" customWidth="1"/>
    <col min="4" max="4" width="12.25" customWidth="1"/>
    <col min="5" max="5" width="10.75" customWidth="1"/>
    <col min="6" max="8" width="10" customWidth="1"/>
    <col min="9" max="9" width="11.875" customWidth="1"/>
    <col min="10" max="10" width="10.375" customWidth="1"/>
    <col min="11" max="11" width="9.25" customWidth="1"/>
    <col min="12" max="13" width="10" customWidth="1"/>
  </cols>
  <sheetData>
    <row r="2" spans="1:13" ht="20.25" x14ac:dyDescent="0.3">
      <c r="A2" s="20" t="str">
        <f>"MÅLESTATISTIKK FOR BETONGFAGENE - 1. HALVÅR "&amp;FORS!$A$14</f>
        <v>MÅLESTATISTIKK FOR BETONGFAGENE - 1. HALVÅR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2016</v>
      </c>
      <c r="G4" s="5"/>
      <c r="H4" s="3"/>
      <c r="I4" s="2" t="str">
        <f>" 1. halvår  "&amp;FORS!$A$14-1</f>
        <v xml:space="preserve"> 1. halvår  2015</v>
      </c>
      <c r="J4" s="5"/>
      <c r="K4" s="3"/>
      <c r="L4" s="47" t="s">
        <v>29</v>
      </c>
      <c r="M4" s="3"/>
    </row>
    <row r="5" spans="1:13" s="51" customFormat="1" ht="15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s="51" customFormat="1" ht="15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7" t="s">
        <v>25</v>
      </c>
      <c r="B7" s="83">
        <v>1955415</v>
      </c>
      <c r="C7" s="92">
        <v>211313</v>
      </c>
      <c r="D7" s="85">
        <v>7079</v>
      </c>
      <c r="E7" s="95">
        <v>1032</v>
      </c>
      <c r="F7" s="6">
        <f t="shared" ref="F7:F21" si="0">IF(D7=0,0,B7/D7)</f>
        <v>276.22757451617463</v>
      </c>
      <c r="G7" s="6">
        <f t="shared" ref="G7:G21" si="1">IF(E7=0,0,C7/E7)</f>
        <v>204.76065891472868</v>
      </c>
      <c r="H7" s="6">
        <f t="shared" ref="H7:H21" si="2">IF(D7+E7=0,0,(B7+C7)/(D7+E7))</f>
        <v>267.1345086918999</v>
      </c>
      <c r="I7" s="21">
        <v>3299282</v>
      </c>
      <c r="J7" s="21"/>
      <c r="K7" s="45">
        <v>270.02999999999997</v>
      </c>
      <c r="L7" s="7">
        <f>IF(I7=0,0,(B7-I7)/I7)</f>
        <v>-0.40732104742789493</v>
      </c>
      <c r="M7" s="7">
        <f>IF(K7=0,0,(H7-K7)/K7)</f>
        <v>-1.0722850454023913E-2</v>
      </c>
    </row>
    <row r="8" spans="1:13" x14ac:dyDescent="0.25">
      <c r="A8" s="17" t="s">
        <v>7</v>
      </c>
      <c r="B8" s="91">
        <v>22683267</v>
      </c>
      <c r="C8" s="81"/>
      <c r="D8" s="91">
        <v>80950.66</v>
      </c>
      <c r="E8" s="21"/>
      <c r="F8" s="6">
        <f t="shared" si="0"/>
        <v>280.21101989779947</v>
      </c>
      <c r="G8" s="6">
        <f t="shared" si="1"/>
        <v>0</v>
      </c>
      <c r="H8" s="6">
        <f t="shared" si="2"/>
        <v>280.21101989779947</v>
      </c>
      <c r="I8" s="21">
        <v>37393459</v>
      </c>
      <c r="J8" s="21"/>
      <c r="K8" s="45">
        <v>282.95999999999998</v>
      </c>
      <c r="L8" s="7">
        <f t="shared" ref="L8:L22" si="3">IF(I8=0,0,(B8-I8)/I8)</f>
        <v>-0.393389442789981</v>
      </c>
      <c r="M8" s="7">
        <f t="shared" ref="M8:M22" si="4">IF(K8=0,0,(H8-K8)/K8)</f>
        <v>-9.7150837651982808E-3</v>
      </c>
    </row>
    <row r="9" spans="1:13" x14ac:dyDescent="0.25">
      <c r="A9" s="17" t="s">
        <v>26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/>
      <c r="J9" s="21"/>
      <c r="K9" s="45"/>
      <c r="L9" s="7">
        <f t="shared" si="3"/>
        <v>0</v>
      </c>
      <c r="M9" s="7">
        <f t="shared" si="4"/>
        <v>0</v>
      </c>
    </row>
    <row r="10" spans="1:13" x14ac:dyDescent="0.25">
      <c r="A10" s="17" t="s">
        <v>8</v>
      </c>
      <c r="B10" s="21"/>
      <c r="C10" s="21"/>
      <c r="D10" s="21"/>
      <c r="E10" s="21"/>
      <c r="F10" s="6">
        <f t="shared" si="0"/>
        <v>0</v>
      </c>
      <c r="G10" s="6">
        <f t="shared" si="1"/>
        <v>0</v>
      </c>
      <c r="H10" s="6">
        <f t="shared" si="2"/>
        <v>0</v>
      </c>
      <c r="I10" s="21"/>
      <c r="J10" s="21"/>
      <c r="K10" s="45">
        <v>0</v>
      </c>
      <c r="L10" s="7">
        <f t="shared" si="3"/>
        <v>0</v>
      </c>
      <c r="M10" s="7">
        <f t="shared" si="4"/>
        <v>0</v>
      </c>
    </row>
    <row r="11" spans="1:13" x14ac:dyDescent="0.25">
      <c r="A11" s="17" t="s">
        <v>9</v>
      </c>
      <c r="B11" s="63">
        <v>7182045</v>
      </c>
      <c r="C11" s="21"/>
      <c r="D11" s="63">
        <v>27760.92</v>
      </c>
      <c r="E11" s="21"/>
      <c r="F11" s="6">
        <f t="shared" si="0"/>
        <v>258.71062630489195</v>
      </c>
      <c r="G11" s="6">
        <f t="shared" si="1"/>
        <v>0</v>
      </c>
      <c r="H11" s="6">
        <f t="shared" si="2"/>
        <v>258.71062630489195</v>
      </c>
      <c r="I11" s="21">
        <v>6789716</v>
      </c>
      <c r="J11" s="21"/>
      <c r="K11" s="45">
        <v>254.51</v>
      </c>
      <c r="L11" s="7">
        <f t="shared" si="3"/>
        <v>5.778282920817307E-2</v>
      </c>
      <c r="M11" s="7">
        <f t="shared" si="4"/>
        <v>1.6504759360700779E-2</v>
      </c>
    </row>
    <row r="12" spans="1:13" x14ac:dyDescent="0.25">
      <c r="A12" s="17" t="s">
        <v>10</v>
      </c>
      <c r="B12" s="63">
        <v>3542121.95</v>
      </c>
      <c r="C12" s="21"/>
      <c r="D12" s="63">
        <v>14143.93</v>
      </c>
      <c r="E12" s="21"/>
      <c r="F12" s="6">
        <f t="shared" si="0"/>
        <v>250.43406959734671</v>
      </c>
      <c r="G12" s="6">
        <f t="shared" si="1"/>
        <v>0</v>
      </c>
      <c r="H12" s="6">
        <f t="shared" si="2"/>
        <v>250.43406959734671</v>
      </c>
      <c r="I12" s="21">
        <v>3604654</v>
      </c>
      <c r="J12" s="21"/>
      <c r="K12" s="45">
        <v>281.23</v>
      </c>
      <c r="L12" s="7">
        <f t="shared" si="3"/>
        <v>-1.734758731351187E-2</v>
      </c>
      <c r="M12" s="7">
        <f t="shared" si="4"/>
        <v>-0.10950442841323227</v>
      </c>
    </row>
    <row r="13" spans="1:13" x14ac:dyDescent="0.25">
      <c r="A13" s="17" t="s">
        <v>11</v>
      </c>
      <c r="B13" s="70"/>
      <c r="C13" s="21"/>
      <c r="D13" s="21"/>
      <c r="E13" s="21"/>
      <c r="F13" s="6">
        <f>IF(D13=0,0,B13/D13)</f>
        <v>0</v>
      </c>
      <c r="G13" s="6">
        <f t="shared" si="1"/>
        <v>0</v>
      </c>
      <c r="H13" s="6">
        <f t="shared" si="2"/>
        <v>0</v>
      </c>
      <c r="I13" s="21"/>
      <c r="J13" s="21"/>
      <c r="K13" s="45">
        <v>0</v>
      </c>
      <c r="L13" s="7">
        <f>IF(I13=0,0,(B13-I13)/I13)</f>
        <v>0</v>
      </c>
      <c r="M13" s="7">
        <f t="shared" si="4"/>
        <v>0</v>
      </c>
    </row>
    <row r="14" spans="1:13" x14ac:dyDescent="0.25">
      <c r="A14" s="17" t="s">
        <v>12</v>
      </c>
      <c r="B14" s="75">
        <v>26362513.16</v>
      </c>
      <c r="C14" s="21"/>
      <c r="D14" s="72">
        <v>88921.19</v>
      </c>
      <c r="E14" s="21"/>
      <c r="F14" s="6">
        <f>IF(D14=0,0,B14/D14)</f>
        <v>296.47053936187763</v>
      </c>
      <c r="G14" s="6">
        <f t="shared" si="1"/>
        <v>0</v>
      </c>
      <c r="H14" s="6">
        <f t="shared" si="2"/>
        <v>296.47053936187763</v>
      </c>
      <c r="I14" s="21">
        <v>40738774</v>
      </c>
      <c r="J14" s="21"/>
      <c r="K14" s="45">
        <v>321.20999999999998</v>
      </c>
      <c r="L14" s="7">
        <f>IF(I14=0,0,(B14-I14)/I14)</f>
        <v>-0.35288889253270117</v>
      </c>
      <c r="M14" s="7">
        <f t="shared" si="4"/>
        <v>-7.7019584191408599E-2</v>
      </c>
    </row>
    <row r="15" spans="1:13" x14ac:dyDescent="0.25">
      <c r="A15" s="17" t="s">
        <v>13</v>
      </c>
      <c r="B15" s="70"/>
      <c r="C15" s="21"/>
      <c r="D15" s="21"/>
      <c r="E15" s="21"/>
      <c r="F15" s="6">
        <f t="shared" si="0"/>
        <v>0</v>
      </c>
      <c r="G15" s="6">
        <f t="shared" si="1"/>
        <v>0</v>
      </c>
      <c r="H15" s="6">
        <f t="shared" si="2"/>
        <v>0</v>
      </c>
      <c r="I15" s="21"/>
      <c r="J15" s="21"/>
      <c r="K15" s="45"/>
      <c r="L15" s="7">
        <f t="shared" si="3"/>
        <v>0</v>
      </c>
      <c r="M15" s="7">
        <f t="shared" si="4"/>
        <v>0</v>
      </c>
    </row>
    <row r="16" spans="1:13" x14ac:dyDescent="0.25">
      <c r="A16" s="17" t="s">
        <v>14</v>
      </c>
      <c r="B16" s="72">
        <v>1181030.6000000001</v>
      </c>
      <c r="C16" s="60"/>
      <c r="D16" s="72">
        <v>3435.25</v>
      </c>
      <c r="E16" s="21"/>
      <c r="F16" s="6">
        <f t="shared" si="0"/>
        <v>343.79756931809914</v>
      </c>
      <c r="G16" s="6">
        <f t="shared" si="1"/>
        <v>0</v>
      </c>
      <c r="H16" s="6">
        <f t="shared" si="2"/>
        <v>343.79756931809914</v>
      </c>
      <c r="I16" s="21">
        <v>1165010</v>
      </c>
      <c r="J16" s="21"/>
      <c r="K16" s="45">
        <v>332.2</v>
      </c>
      <c r="L16" s="7">
        <f t="shared" si="3"/>
        <v>1.3751469944464075E-2</v>
      </c>
      <c r="M16" s="7">
        <f t="shared" si="4"/>
        <v>3.4911406737203936E-2</v>
      </c>
    </row>
    <row r="17" spans="1:13" x14ac:dyDescent="0.25">
      <c r="A17" s="17" t="s">
        <v>15</v>
      </c>
      <c r="B17" s="74"/>
      <c r="C17" s="21"/>
      <c r="D17" s="21"/>
      <c r="E17" s="21"/>
      <c r="F17" s="6">
        <f t="shared" si="0"/>
        <v>0</v>
      </c>
      <c r="G17" s="6">
        <f t="shared" si="1"/>
        <v>0</v>
      </c>
      <c r="H17" s="6">
        <f t="shared" si="2"/>
        <v>0</v>
      </c>
      <c r="I17" s="21">
        <v>1444903</v>
      </c>
      <c r="J17" s="21"/>
      <c r="K17" s="45">
        <v>248.55</v>
      </c>
      <c r="L17" s="7"/>
      <c r="M17" s="7"/>
    </row>
    <row r="18" spans="1:13" x14ac:dyDescent="0.25">
      <c r="A18" s="17" t="s">
        <v>16</v>
      </c>
      <c r="B18" s="72">
        <v>43448814</v>
      </c>
      <c r="C18" s="60"/>
      <c r="D18" s="72">
        <v>144563.99</v>
      </c>
      <c r="E18" s="21"/>
      <c r="F18" s="6">
        <f t="shared" si="0"/>
        <v>300.55073881123508</v>
      </c>
      <c r="G18" s="6">
        <f t="shared" si="1"/>
        <v>0</v>
      </c>
      <c r="H18" s="6">
        <f t="shared" si="2"/>
        <v>300.55073881123508</v>
      </c>
      <c r="I18" s="21">
        <v>23961984</v>
      </c>
      <c r="J18" s="21"/>
      <c r="K18" s="45">
        <v>286.67</v>
      </c>
      <c r="L18" s="7">
        <f t="shared" si="3"/>
        <v>0.81323942124324933</v>
      </c>
      <c r="M18" s="7">
        <f t="shared" si="4"/>
        <v>4.842061886920522E-2</v>
      </c>
    </row>
    <row r="19" spans="1:13" x14ac:dyDescent="0.25">
      <c r="A19" s="17" t="s">
        <v>17</v>
      </c>
      <c r="B19" s="72">
        <v>1419315</v>
      </c>
      <c r="C19" s="60"/>
      <c r="D19" s="77">
        <v>5002</v>
      </c>
      <c r="E19" s="21"/>
      <c r="F19" s="6">
        <f t="shared" si="0"/>
        <v>283.74950019992002</v>
      </c>
      <c r="G19" s="6">
        <f t="shared" si="1"/>
        <v>0</v>
      </c>
      <c r="H19" s="6">
        <f t="shared" si="2"/>
        <v>283.74950019992002</v>
      </c>
      <c r="I19" s="21">
        <v>2687384</v>
      </c>
      <c r="J19" s="21"/>
      <c r="K19" s="45">
        <v>260.63</v>
      </c>
      <c r="L19" s="7">
        <f t="shared" si="3"/>
        <v>-0.47185999470116663</v>
      </c>
      <c r="M19" s="7">
        <f t="shared" si="4"/>
        <v>8.87062126382996E-2</v>
      </c>
    </row>
    <row r="20" spans="1:13" x14ac:dyDescent="0.25">
      <c r="A20" s="17" t="s">
        <v>18</v>
      </c>
      <c r="B20" s="83">
        <v>3461921.9</v>
      </c>
      <c r="C20" s="93">
        <v>630518.5</v>
      </c>
      <c r="D20" s="85">
        <v>11960</v>
      </c>
      <c r="E20" s="94">
        <v>3205</v>
      </c>
      <c r="F20" s="6">
        <f t="shared" si="0"/>
        <v>289.45835284280935</v>
      </c>
      <c r="G20" s="6">
        <f t="shared" si="1"/>
        <v>196.72964118564744</v>
      </c>
      <c r="H20" s="6">
        <f t="shared" si="2"/>
        <v>269.8608902077151</v>
      </c>
      <c r="I20" s="21">
        <v>3241424</v>
      </c>
      <c r="J20" s="21">
        <v>2724456</v>
      </c>
      <c r="K20" s="45">
        <v>232.4</v>
      </c>
      <c r="L20" s="7">
        <f t="shared" si="3"/>
        <v>6.8025009995606844E-2</v>
      </c>
      <c r="M20" s="7">
        <f t="shared" si="4"/>
        <v>0.16119143807106323</v>
      </c>
    </row>
    <row r="21" spans="1:13" x14ac:dyDescent="0.25">
      <c r="A21" s="17" t="s">
        <v>19</v>
      </c>
      <c r="B21" s="76">
        <v>11802983</v>
      </c>
      <c r="C21" s="59"/>
      <c r="D21" s="76">
        <v>39092</v>
      </c>
      <c r="E21" s="21"/>
      <c r="F21" s="6">
        <f t="shared" si="0"/>
        <v>301.92834851120432</v>
      </c>
      <c r="G21" s="6">
        <f t="shared" si="1"/>
        <v>0</v>
      </c>
      <c r="H21" s="6">
        <f t="shared" si="2"/>
        <v>301.92834851120432</v>
      </c>
      <c r="I21" s="21">
        <v>17793000</v>
      </c>
      <c r="J21" s="21"/>
      <c r="K21" s="45">
        <v>290.43</v>
      </c>
      <c r="L21" s="7">
        <f t="shared" si="3"/>
        <v>-0.33665019951666386</v>
      </c>
      <c r="M21" s="7">
        <f t="shared" si="4"/>
        <v>3.9590774063300319E-2</v>
      </c>
    </row>
    <row r="22" spans="1:13" s="11" customFormat="1" x14ac:dyDescent="0.25">
      <c r="A22" s="18" t="s">
        <v>20</v>
      </c>
      <c r="B22" s="78">
        <f>SUM(B7:B21)</f>
        <v>123039426.61000001</v>
      </c>
      <c r="C22" s="41">
        <f>SUM(C7:C21)</f>
        <v>841831.5</v>
      </c>
      <c r="D22" s="78">
        <f>SUM(D7:D21)</f>
        <v>422908.94</v>
      </c>
      <c r="E22" s="41">
        <f>SUM(E7:E21)</f>
        <v>4237</v>
      </c>
      <c r="F22" s="9">
        <f>IF(D22=0,0,B22/D22)</f>
        <v>290.93597929142857</v>
      </c>
      <c r="G22" s="9">
        <f>IF(E22=0,0,C22/E22)</f>
        <v>198.68574463063487</v>
      </c>
      <c r="H22" s="9">
        <f>IF(D22+E22=0,0,(B22+C22)/(D22+E22))</f>
        <v>290.02091910319928</v>
      </c>
      <c r="I22" s="23">
        <f>SUM(I7:I21)</f>
        <v>142119590</v>
      </c>
      <c r="J22" s="23">
        <f>SUM(J7:J21)</f>
        <v>2724456</v>
      </c>
      <c r="K22" s="46">
        <v>289.2</v>
      </c>
      <c r="L22" s="32">
        <f t="shared" si="3"/>
        <v>-0.13425428113041971</v>
      </c>
      <c r="M22" s="32">
        <f t="shared" si="4"/>
        <v>2.8385861106476049E-3</v>
      </c>
    </row>
    <row r="25" spans="1:13" ht="20.25" x14ac:dyDescent="0.3">
      <c r="A25" s="20" t="str">
        <f>"MÅLESTATISTIKK FOR BETONGFAGENE - 2. HALVÅR "&amp;FORS!$A$14</f>
        <v>MÅLESTATISTIKK FOR BETONGFAGENE - 2. HALVÅR 2016</v>
      </c>
    </row>
    <row r="26" spans="1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5"/>
      <c r="B27" s="2" t="s">
        <v>4</v>
      </c>
      <c r="C27" s="3"/>
      <c r="D27" s="2" t="s">
        <v>5</v>
      </c>
      <c r="E27" s="3"/>
      <c r="F27" s="2" t="str">
        <f>"Fortjeneste 2. halvår  "&amp;FORS!$A$14-0</f>
        <v>Fortjeneste 2. halvår  2016</v>
      </c>
      <c r="G27" s="5"/>
      <c r="H27" s="3"/>
      <c r="I27" s="2" t="str">
        <f>" 2. halvår  "&amp;FORS!$A$14-1</f>
        <v xml:space="preserve"> 2. halvår  2015</v>
      </c>
      <c r="J27" s="5"/>
      <c r="K27" s="3"/>
      <c r="L27" s="47" t="s">
        <v>29</v>
      </c>
      <c r="M27" s="3"/>
    </row>
    <row r="28" spans="1:13" x14ac:dyDescent="0.25">
      <c r="A28" s="48"/>
      <c r="B28" s="49" t="s">
        <v>6</v>
      </c>
      <c r="C28" s="49" t="s">
        <v>6</v>
      </c>
      <c r="D28" s="49" t="s">
        <v>6</v>
      </c>
      <c r="E28" s="49" t="s">
        <v>6</v>
      </c>
      <c r="F28" s="49" t="s">
        <v>6</v>
      </c>
      <c r="G28" s="49" t="s">
        <v>6</v>
      </c>
      <c r="H28" s="50" t="s">
        <v>33</v>
      </c>
      <c r="I28" s="49" t="s">
        <v>6</v>
      </c>
      <c r="J28" s="49" t="s">
        <v>6</v>
      </c>
      <c r="K28" s="50" t="s">
        <v>31</v>
      </c>
      <c r="L28" s="49" t="s">
        <v>6</v>
      </c>
      <c r="M28" s="50" t="s">
        <v>31</v>
      </c>
    </row>
    <row r="29" spans="1:13" x14ac:dyDescent="0.25">
      <c r="A29" s="52"/>
      <c r="B29" s="53" t="s">
        <v>30</v>
      </c>
      <c r="C29" s="53" t="s">
        <v>32</v>
      </c>
      <c r="D29" s="53" t="s">
        <v>30</v>
      </c>
      <c r="E29" s="53" t="s">
        <v>32</v>
      </c>
      <c r="F29" s="53" t="s">
        <v>30</v>
      </c>
      <c r="G29" s="53" t="s">
        <v>32</v>
      </c>
      <c r="H29" s="54" t="s">
        <v>34</v>
      </c>
      <c r="I29" s="53" t="s">
        <v>30</v>
      </c>
      <c r="J29" s="53" t="s">
        <v>32</v>
      </c>
      <c r="K29" s="54" t="s">
        <v>28</v>
      </c>
      <c r="L29" s="53" t="s">
        <v>30</v>
      </c>
      <c r="M29" s="54" t="s">
        <v>28</v>
      </c>
    </row>
    <row r="30" spans="1:13" x14ac:dyDescent="0.25">
      <c r="A30" s="17" t="s">
        <v>25</v>
      </c>
      <c r="B30" s="83">
        <v>1215187</v>
      </c>
      <c r="C30" s="107"/>
      <c r="D30" s="85">
        <v>4141</v>
      </c>
      <c r="E30" s="21"/>
      <c r="F30" s="6">
        <f>IF(D30=0,0,B30/D30)</f>
        <v>293.45254769379375</v>
      </c>
      <c r="G30" s="6">
        <f>IF(E30=0,0,#REF!/E30)</f>
        <v>0</v>
      </c>
      <c r="H30" s="6">
        <f>IF(D30+E30=0,0,(B30+C30)/(D30+E30))</f>
        <v>293.45254769379375</v>
      </c>
      <c r="I30" s="4">
        <v>4355976</v>
      </c>
      <c r="J30" s="4">
        <v>83831</v>
      </c>
      <c r="K30" s="6">
        <v>276.23</v>
      </c>
      <c r="L30" s="7">
        <f>IF(I30=0,0,(B30-I30)/I30)</f>
        <v>-0.72102991384709192</v>
      </c>
      <c r="M30" s="7">
        <f>IF(K30=0,0,(H30-K30)/K30)</f>
        <v>6.2348577974129266E-2</v>
      </c>
    </row>
    <row r="31" spans="1:13" x14ac:dyDescent="0.25">
      <c r="A31" s="17" t="s">
        <v>7</v>
      </c>
      <c r="B31" s="115">
        <v>22819678.5</v>
      </c>
      <c r="C31" s="81"/>
      <c r="D31" s="84">
        <v>80537.98</v>
      </c>
      <c r="E31" s="21"/>
      <c r="F31" s="6"/>
      <c r="G31" s="6">
        <f t="shared" ref="G31:G44" si="5">IF(E31=0,0,C31/E31)</f>
        <v>0</v>
      </c>
      <c r="H31" s="6">
        <f t="shared" ref="H31:H44" si="6">IF(D31+E31=0,0,(B31+C31)/(D31+E31))</f>
        <v>283.34058663999275</v>
      </c>
      <c r="I31" s="4">
        <v>20581258.77</v>
      </c>
      <c r="J31" s="4"/>
      <c r="K31" s="6">
        <v>278.42</v>
      </c>
      <c r="L31" s="7">
        <f>IF(I31=0,0,(B31-I31)/I31)</f>
        <v>0.10876009844756451</v>
      </c>
      <c r="M31" s="7">
        <f t="shared" ref="M31:M45" si="7">IF(K31=0,0,(H31-K31)/K31)</f>
        <v>1.7673251346859903E-2</v>
      </c>
    </row>
    <row r="32" spans="1:13" x14ac:dyDescent="0.25">
      <c r="A32" s="17" t="s">
        <v>26</v>
      </c>
      <c r="B32" s="21"/>
      <c r="C32" s="21"/>
      <c r="D32" s="21"/>
      <c r="E32" s="21"/>
      <c r="F32" s="6">
        <f>IF(D32=0,0,B32/D32)</f>
        <v>0</v>
      </c>
      <c r="G32" s="6">
        <f>IF(E32=0,0,C32/E32)</f>
        <v>0</v>
      </c>
      <c r="H32" s="6">
        <f>IF(D32+E32=0,0,(B32+C32)/(D32+E32))</f>
        <v>0</v>
      </c>
      <c r="I32" s="4">
        <v>3360922.67</v>
      </c>
      <c r="J32" s="4"/>
      <c r="K32" s="6">
        <v>356.99</v>
      </c>
      <c r="L32" s="7">
        <f t="shared" ref="L32:L45" si="8">IF(I32=0,0,(B32-I32)/I32)</f>
        <v>-1</v>
      </c>
      <c r="M32" s="7">
        <f t="shared" si="7"/>
        <v>-1</v>
      </c>
    </row>
    <row r="33" spans="1:13" x14ac:dyDescent="0.25">
      <c r="A33" s="17"/>
      <c r="B33" s="21"/>
      <c r="C33" s="21"/>
      <c r="D33" s="21"/>
      <c r="E33" s="21"/>
      <c r="F33" s="6">
        <f t="shared" ref="F33:F44" si="9">IF(D33=0,0,B33/D33)</f>
        <v>0</v>
      </c>
      <c r="G33" s="6">
        <f t="shared" si="5"/>
        <v>0</v>
      </c>
      <c r="H33" s="6">
        <f t="shared" si="6"/>
        <v>0</v>
      </c>
      <c r="I33" s="4"/>
      <c r="J33" s="4"/>
      <c r="K33" s="6">
        <v>0</v>
      </c>
      <c r="L33" s="7">
        <f t="shared" si="8"/>
        <v>0</v>
      </c>
      <c r="M33" s="7">
        <f t="shared" si="7"/>
        <v>0</v>
      </c>
    </row>
    <row r="34" spans="1:13" x14ac:dyDescent="0.25">
      <c r="A34" s="17" t="s">
        <v>9</v>
      </c>
      <c r="B34" s="83">
        <v>6280519</v>
      </c>
      <c r="C34" s="21"/>
      <c r="D34" s="85">
        <v>23786.47</v>
      </c>
      <c r="E34" s="21"/>
      <c r="F34" s="6">
        <f>IF(D34=0,0,B34/D34)</f>
        <v>264.03745490608736</v>
      </c>
      <c r="G34" s="6">
        <f t="shared" si="5"/>
        <v>0</v>
      </c>
      <c r="H34" s="6">
        <f t="shared" si="6"/>
        <v>264.03745490608736</v>
      </c>
      <c r="I34" s="4">
        <v>10138026</v>
      </c>
      <c r="J34" s="4"/>
      <c r="K34" s="6">
        <v>256.42</v>
      </c>
      <c r="L34" s="7">
        <f t="shared" si="8"/>
        <v>-0.38049882689194131</v>
      </c>
      <c r="M34" s="7">
        <f t="shared" si="7"/>
        <v>2.9706945269820394E-2</v>
      </c>
    </row>
    <row r="35" spans="1:13" x14ac:dyDescent="0.25">
      <c r="A35" s="17" t="s">
        <v>10</v>
      </c>
      <c r="B35" s="63">
        <v>1160879.45</v>
      </c>
      <c r="C35" s="21"/>
      <c r="D35" s="63">
        <v>3909.6</v>
      </c>
      <c r="E35" s="21"/>
      <c r="F35" s="6">
        <f t="shared" si="9"/>
        <v>296.93049161039494</v>
      </c>
      <c r="G35" s="6">
        <f t="shared" si="5"/>
        <v>0</v>
      </c>
      <c r="H35" s="6">
        <f t="shared" si="6"/>
        <v>296.93049161039494</v>
      </c>
      <c r="I35" s="4">
        <v>5237487</v>
      </c>
      <c r="J35" s="4"/>
      <c r="K35" s="6">
        <v>269.48</v>
      </c>
      <c r="L35" s="7">
        <f t="shared" si="8"/>
        <v>-0.77835182216204069</v>
      </c>
      <c r="M35" s="7">
        <f t="shared" si="7"/>
        <v>0.10186467125721731</v>
      </c>
    </row>
    <row r="36" spans="1:13" x14ac:dyDescent="0.25">
      <c r="A36" s="17" t="s">
        <v>11</v>
      </c>
      <c r="B36" s="21"/>
      <c r="C36" s="21"/>
      <c r="D36" s="21"/>
      <c r="E36" s="21"/>
      <c r="F36" s="6">
        <f t="shared" si="9"/>
        <v>0</v>
      </c>
      <c r="G36" s="6">
        <f t="shared" si="5"/>
        <v>0</v>
      </c>
      <c r="H36" s="6">
        <f t="shared" si="6"/>
        <v>0</v>
      </c>
      <c r="I36" s="4"/>
      <c r="J36" s="4"/>
      <c r="K36" s="6">
        <v>0</v>
      </c>
      <c r="L36" s="7">
        <f t="shared" si="8"/>
        <v>0</v>
      </c>
      <c r="M36" s="7">
        <f t="shared" si="7"/>
        <v>0</v>
      </c>
    </row>
    <row r="37" spans="1:13" x14ac:dyDescent="0.25">
      <c r="A37" s="17" t="s">
        <v>12</v>
      </c>
      <c r="B37" s="83">
        <v>33046055.670000002</v>
      </c>
      <c r="C37" s="60"/>
      <c r="D37" s="85">
        <v>111644.78</v>
      </c>
      <c r="E37" s="21"/>
      <c r="F37" s="6">
        <f t="shared" si="9"/>
        <v>295.99284149245494</v>
      </c>
      <c r="G37" s="6">
        <f t="shared" si="5"/>
        <v>0</v>
      </c>
      <c r="H37" s="6">
        <f>IF(D37+E37=0,0,(B37+C37)/(D37+E37))</f>
        <v>295.99284149245494</v>
      </c>
      <c r="I37" s="4">
        <v>33858607.240000002</v>
      </c>
      <c r="J37" s="4"/>
      <c r="K37" s="6">
        <v>315.36</v>
      </c>
      <c r="L37" s="7">
        <f t="shared" si="8"/>
        <v>-2.3998375486634464E-2</v>
      </c>
      <c r="M37" s="7">
        <f t="shared" si="7"/>
        <v>-6.1412856759085074E-2</v>
      </c>
    </row>
    <row r="38" spans="1:13" x14ac:dyDescent="0.25">
      <c r="A38" s="17" t="s">
        <v>13</v>
      </c>
      <c r="B38" s="21"/>
      <c r="C38" s="21"/>
      <c r="D38" s="21"/>
      <c r="E38" s="21"/>
      <c r="F38" s="6">
        <f t="shared" si="9"/>
        <v>0</v>
      </c>
      <c r="G38" s="6">
        <f t="shared" si="5"/>
        <v>0</v>
      </c>
      <c r="H38" s="6">
        <f t="shared" si="6"/>
        <v>0</v>
      </c>
      <c r="I38" s="4"/>
      <c r="J38" s="4"/>
      <c r="K38" s="6">
        <v>0</v>
      </c>
      <c r="L38" s="7">
        <f t="shared" si="8"/>
        <v>0</v>
      </c>
      <c r="M38" s="7">
        <f t="shared" si="7"/>
        <v>0</v>
      </c>
    </row>
    <row r="39" spans="1:13" x14ac:dyDescent="0.25">
      <c r="A39" s="17" t="s">
        <v>14</v>
      </c>
      <c r="B39" s="63">
        <v>9209474.4000000004</v>
      </c>
      <c r="C39" s="63"/>
      <c r="D39" s="63">
        <v>29981.4</v>
      </c>
      <c r="E39" s="21"/>
      <c r="F39" s="6">
        <f t="shared" si="9"/>
        <v>307.1729272148732</v>
      </c>
      <c r="G39" s="6">
        <f t="shared" si="5"/>
        <v>0</v>
      </c>
      <c r="H39" s="6">
        <f t="shared" si="6"/>
        <v>307.1729272148732</v>
      </c>
      <c r="I39" s="4">
        <v>484919</v>
      </c>
      <c r="J39" s="4"/>
      <c r="K39" s="6">
        <v>315.64</v>
      </c>
      <c r="L39" s="7">
        <f t="shared" si="8"/>
        <v>17.991778833165952</v>
      </c>
      <c r="M39" s="7">
        <f t="shared" si="7"/>
        <v>-2.6825094364233901E-2</v>
      </c>
    </row>
    <row r="40" spans="1:13" x14ac:dyDescent="0.25">
      <c r="A40" s="17"/>
      <c r="B40" s="21"/>
      <c r="C40" s="21"/>
      <c r="D40" s="21"/>
      <c r="E40" s="21"/>
      <c r="F40" s="6">
        <f t="shared" si="9"/>
        <v>0</v>
      </c>
      <c r="G40" s="6">
        <f t="shared" si="5"/>
        <v>0</v>
      </c>
      <c r="H40" s="6">
        <f t="shared" si="6"/>
        <v>0</v>
      </c>
      <c r="I40" s="4"/>
      <c r="J40" s="4"/>
      <c r="K40" s="6"/>
      <c r="L40" s="7">
        <f t="shared" si="8"/>
        <v>0</v>
      </c>
      <c r="M40" s="7">
        <f t="shared" si="7"/>
        <v>0</v>
      </c>
    </row>
    <row r="41" spans="1:13" x14ac:dyDescent="0.25">
      <c r="A41" s="17" t="s">
        <v>16</v>
      </c>
      <c r="B41" s="113">
        <v>25045308.059999999</v>
      </c>
      <c r="C41" s="60"/>
      <c r="D41" s="113">
        <v>85825.8</v>
      </c>
      <c r="E41" s="21"/>
      <c r="F41" s="6">
        <f t="shared" si="9"/>
        <v>291.81560859322019</v>
      </c>
      <c r="G41" s="6">
        <f t="shared" si="5"/>
        <v>0</v>
      </c>
      <c r="H41" s="6">
        <f t="shared" si="6"/>
        <v>291.81560859322019</v>
      </c>
      <c r="I41" s="4">
        <v>32689747.890000001</v>
      </c>
      <c r="J41" s="4"/>
      <c r="K41" s="6">
        <v>290.5</v>
      </c>
      <c r="L41" s="7">
        <f t="shared" si="8"/>
        <v>-0.23384823449000916</v>
      </c>
      <c r="M41" s="7">
        <f t="shared" si="7"/>
        <v>4.5287731264034093E-3</v>
      </c>
    </row>
    <row r="42" spans="1:13" x14ac:dyDescent="0.25">
      <c r="A42" s="17" t="s">
        <v>17</v>
      </c>
      <c r="B42" s="4">
        <v>613416</v>
      </c>
      <c r="C42" s="21"/>
      <c r="D42" s="4">
        <v>2537</v>
      </c>
      <c r="E42" s="21"/>
      <c r="F42" s="6">
        <f t="shared" si="9"/>
        <v>241.78793851005125</v>
      </c>
      <c r="G42" s="6">
        <f t="shared" si="5"/>
        <v>0</v>
      </c>
      <c r="H42" s="6">
        <f t="shared" si="6"/>
        <v>241.78793851005125</v>
      </c>
      <c r="I42" s="4">
        <v>179975</v>
      </c>
      <c r="J42" s="4"/>
      <c r="K42" s="6">
        <v>229.27</v>
      </c>
      <c r="L42" s="7">
        <f t="shared" si="8"/>
        <v>2.4083400472287817</v>
      </c>
      <c r="M42" s="7">
        <f t="shared" si="7"/>
        <v>5.4599112444066983E-2</v>
      </c>
    </row>
    <row r="43" spans="1:13" x14ac:dyDescent="0.25">
      <c r="A43" s="17" t="s">
        <v>18</v>
      </c>
      <c r="B43" s="65">
        <v>3603657</v>
      </c>
      <c r="C43" s="65">
        <v>72160</v>
      </c>
      <c r="D43" s="21">
        <v>12316</v>
      </c>
      <c r="E43" s="21">
        <v>350</v>
      </c>
      <c r="F43" s="6">
        <f t="shared" si="9"/>
        <v>292.59962650211105</v>
      </c>
      <c r="G43" s="6">
        <f t="shared" si="5"/>
        <v>206.17142857142858</v>
      </c>
      <c r="H43" s="6">
        <f t="shared" si="6"/>
        <v>290.21135322911732</v>
      </c>
      <c r="I43" s="4">
        <v>2590332</v>
      </c>
      <c r="J43" s="4"/>
      <c r="K43" s="6">
        <v>281.94</v>
      </c>
      <c r="L43" s="7">
        <f t="shared" si="8"/>
        <v>0.39119502828208896</v>
      </c>
      <c r="M43" s="7">
        <f t="shared" si="7"/>
        <v>2.9337281794414853E-2</v>
      </c>
    </row>
    <row r="44" spans="1:13" x14ac:dyDescent="0.25">
      <c r="A44" s="17" t="s">
        <v>19</v>
      </c>
      <c r="B44" s="132">
        <v>12082961</v>
      </c>
      <c r="C44" s="59"/>
      <c r="D44" s="132">
        <v>37513</v>
      </c>
      <c r="E44" s="21"/>
      <c r="F44" s="6">
        <f t="shared" si="9"/>
        <v>322.10063178098261</v>
      </c>
      <c r="G44" s="6">
        <f t="shared" si="5"/>
        <v>0</v>
      </c>
      <c r="H44" s="6">
        <f t="shared" si="6"/>
        <v>322.10063178098261</v>
      </c>
      <c r="I44" s="4">
        <v>7182385</v>
      </c>
      <c r="J44" s="4">
        <v>1482017</v>
      </c>
      <c r="K44" s="6">
        <v>281.14</v>
      </c>
      <c r="L44" s="7">
        <f t="shared" si="8"/>
        <v>0.68230483328309466</v>
      </c>
      <c r="M44" s="7">
        <f t="shared" si="7"/>
        <v>0.14569478473707984</v>
      </c>
    </row>
    <row r="45" spans="1:13" x14ac:dyDescent="0.25">
      <c r="A45" s="18" t="s">
        <v>20</v>
      </c>
      <c r="B45" s="8">
        <f>SUM(B30:B44)</f>
        <v>115077136.08000001</v>
      </c>
      <c r="C45" s="8">
        <f>SUM(C30:C44)</f>
        <v>72160</v>
      </c>
      <c r="D45" s="8">
        <f>SUM(D30:D44)</f>
        <v>392193.03</v>
      </c>
      <c r="E45" s="8">
        <f>SUM(E30:E44)</f>
        <v>350</v>
      </c>
      <c r="F45" s="9">
        <f>IF(D45=0,0,B45/D45)</f>
        <v>293.41963593794617</v>
      </c>
      <c r="G45" s="9">
        <f>IF(E45=0,0,C45/E45)</f>
        <v>206.17142857142858</v>
      </c>
      <c r="H45" s="9">
        <f>IF(D45+E45=0,0,(B45+C45)/(D45+E45))</f>
        <v>293.34184351712986</v>
      </c>
      <c r="I45" s="8">
        <f>SUM(I30:I44)</f>
        <v>120659636.57000001</v>
      </c>
      <c r="J45" s="8">
        <v>1565848</v>
      </c>
      <c r="K45" s="9">
        <v>290.60000000000002</v>
      </c>
      <c r="L45" s="32">
        <f t="shared" si="8"/>
        <v>-4.6266511724169984E-2</v>
      </c>
      <c r="M45" s="32">
        <f t="shared" si="7"/>
        <v>9.4351118965238703E-3</v>
      </c>
    </row>
    <row r="46" spans="1:13" x14ac:dyDescent="0.25">
      <c r="J46" s="38"/>
    </row>
    <row r="48" spans="1:13" ht="20.25" x14ac:dyDescent="0.3">
      <c r="A48" s="20" t="str">
        <f>"MÅLESTATISTIKK FOR BETONGFAGENE - GJENNOMSNITT HELE ÅRET  "&amp;FORS!$A$14</f>
        <v>MÅLESTATISTIKK FOR BETONGFAGENE - GJENNOMSNITT HELE ÅRET  2016</v>
      </c>
    </row>
    <row r="49" spans="1:1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5"/>
      <c r="B50" s="2" t="s">
        <v>4</v>
      </c>
      <c r="C50" s="3"/>
      <c r="D50" s="2" t="s">
        <v>5</v>
      </c>
      <c r="E50" s="3"/>
      <c r="F50" s="2" t="str">
        <f>"Fortjeneste hele  "&amp;FORS!$A$14-0</f>
        <v>Fortjeneste hele  2016</v>
      </c>
      <c r="G50" s="5"/>
      <c r="H50" s="3"/>
      <c r="I50" s="2" t="str">
        <f>" Hele året  "&amp;FORS!$A$14-1</f>
        <v xml:space="preserve"> Hele året  2015</v>
      </c>
      <c r="J50" s="5"/>
      <c r="K50" s="3"/>
      <c r="L50" s="47" t="s">
        <v>29</v>
      </c>
      <c r="M50" s="3"/>
    </row>
    <row r="51" spans="1:13" x14ac:dyDescent="0.25">
      <c r="A51" s="48"/>
      <c r="B51" s="49" t="s">
        <v>6</v>
      </c>
      <c r="C51" s="49" t="s">
        <v>6</v>
      </c>
      <c r="D51" s="49" t="s">
        <v>6</v>
      </c>
      <c r="E51" s="49" t="s">
        <v>6</v>
      </c>
      <c r="F51" s="49" t="s">
        <v>6</v>
      </c>
      <c r="G51" s="49" t="s">
        <v>6</v>
      </c>
      <c r="H51" s="50" t="s">
        <v>33</v>
      </c>
      <c r="I51" s="49" t="s">
        <v>6</v>
      </c>
      <c r="J51" s="49" t="s">
        <v>6</v>
      </c>
      <c r="K51" s="50" t="s">
        <v>31</v>
      </c>
      <c r="L51" s="49" t="s">
        <v>6</v>
      </c>
      <c r="M51" s="50" t="s">
        <v>31</v>
      </c>
    </row>
    <row r="52" spans="1:13" ht="16.5" thickBot="1" x14ac:dyDescent="0.3">
      <c r="A52" s="52"/>
      <c r="B52" s="53" t="s">
        <v>30</v>
      </c>
      <c r="C52" s="110" t="s">
        <v>32</v>
      </c>
      <c r="D52" s="53" t="s">
        <v>30</v>
      </c>
      <c r="E52" s="53" t="s">
        <v>32</v>
      </c>
      <c r="F52" s="53" t="s">
        <v>30</v>
      </c>
      <c r="G52" s="53" t="s">
        <v>32</v>
      </c>
      <c r="H52" s="54" t="s">
        <v>34</v>
      </c>
      <c r="I52" s="53" t="s">
        <v>30</v>
      </c>
      <c r="J52" s="53" t="s">
        <v>32</v>
      </c>
      <c r="K52" s="54" t="s">
        <v>28</v>
      </c>
      <c r="L52" s="53" t="s">
        <v>30</v>
      </c>
      <c r="M52" s="54" t="s">
        <v>28</v>
      </c>
    </row>
    <row r="53" spans="1:13" ht="16.5" thickBot="1" x14ac:dyDescent="0.3">
      <c r="A53" s="17" t="s">
        <v>25</v>
      </c>
      <c r="B53" s="106">
        <f>B7+B30</f>
        <v>3170602</v>
      </c>
      <c r="C53" s="112">
        <f>C7+C30</f>
        <v>211313</v>
      </c>
      <c r="D53" s="106">
        <f>D7+D30</f>
        <v>11220</v>
      </c>
      <c r="E53" s="4">
        <f>E7+E30</f>
        <v>1032</v>
      </c>
      <c r="F53" s="6">
        <f>IF(D30=0,0,B30/D30)</f>
        <v>293.45254769379375</v>
      </c>
      <c r="G53" s="6">
        <f>IF(E53=0,0,C30/E53)</f>
        <v>0</v>
      </c>
      <c r="H53" s="6">
        <f>IF(D30+E53=0,0,(B30+C30)/(D30+E53))</f>
        <v>234.90953025323796</v>
      </c>
      <c r="I53" s="4">
        <f>I7+I30</f>
        <v>7655258</v>
      </c>
      <c r="J53" s="4">
        <f>J7+J30</f>
        <v>83831</v>
      </c>
      <c r="K53" s="6">
        <v>273.55</v>
      </c>
      <c r="L53" s="7">
        <f>IF(I53=0,0,(B30-I53)/I53)</f>
        <v>-0.8412611305850175</v>
      </c>
      <c r="M53" s="7">
        <f>IF(K53=0,0,(H53-K53)/K53)</f>
        <v>-0.14125560134074958</v>
      </c>
    </row>
    <row r="54" spans="1:13" x14ac:dyDescent="0.25">
      <c r="A54" s="17" t="s">
        <v>7</v>
      </c>
      <c r="B54" s="4">
        <f>B8+B31</f>
        <v>45502945.5</v>
      </c>
      <c r="C54" s="111"/>
      <c r="D54" s="4">
        <f>D8+D31</f>
        <v>161488.64000000001</v>
      </c>
      <c r="E54" s="4"/>
      <c r="F54" s="6">
        <f t="shared" ref="F54:F67" si="10">IF(D54=0,0,B54/D54)</f>
        <v>281.7718045058773</v>
      </c>
      <c r="G54" s="6">
        <f t="shared" ref="G54:G67" si="11">IF(E54=0,0,C54/E54)</f>
        <v>0</v>
      </c>
      <c r="H54" s="6">
        <f t="shared" ref="H54:H67" si="12">IF(D54+E54=0,0,(B54+C54)/(D54+E54))</f>
        <v>281.7718045058773</v>
      </c>
      <c r="I54" s="4">
        <f t="shared" ref="I54:J68" si="13">I8+I31</f>
        <v>57974717.769999996</v>
      </c>
      <c r="J54" s="4">
        <f t="shared" si="13"/>
        <v>0</v>
      </c>
      <c r="K54" s="6">
        <v>281.33</v>
      </c>
      <c r="L54" s="7">
        <f t="shared" ref="L54:L68" si="14">IF(I54=0,0,(B54-I54)/I54)</f>
        <v>-0.21512432918567354</v>
      </c>
      <c r="M54" s="7">
        <f t="shared" ref="M54:M68" si="15">IF(K54=0,0,(H54-K54)/K54)</f>
        <v>1.5704137698692446E-3</v>
      </c>
    </row>
    <row r="55" spans="1:13" x14ac:dyDescent="0.25">
      <c r="A55" s="17" t="s">
        <v>26</v>
      </c>
      <c r="B55" s="4"/>
      <c r="C55" s="4"/>
      <c r="D55" s="4"/>
      <c r="E55" s="4"/>
      <c r="F55" s="6">
        <f t="shared" si="10"/>
        <v>0</v>
      </c>
      <c r="G55" s="6">
        <f t="shared" si="11"/>
        <v>0</v>
      </c>
      <c r="H55" s="6">
        <f t="shared" si="12"/>
        <v>0</v>
      </c>
      <c r="I55" s="4">
        <f t="shared" si="13"/>
        <v>3360922.67</v>
      </c>
      <c r="J55" s="4">
        <f t="shared" si="13"/>
        <v>0</v>
      </c>
      <c r="K55" s="6">
        <v>356.99</v>
      </c>
      <c r="L55" s="7">
        <f t="shared" si="14"/>
        <v>-1</v>
      </c>
      <c r="M55" s="7">
        <f t="shared" si="15"/>
        <v>-1</v>
      </c>
    </row>
    <row r="56" spans="1:13" x14ac:dyDescent="0.25">
      <c r="A56" s="17"/>
      <c r="B56" s="4"/>
      <c r="C56" s="4"/>
      <c r="D56" s="4"/>
      <c r="E56" s="4"/>
      <c r="F56" s="6">
        <f t="shared" si="10"/>
        <v>0</v>
      </c>
      <c r="G56" s="6">
        <f t="shared" si="11"/>
        <v>0</v>
      </c>
      <c r="H56" s="6">
        <f t="shared" si="12"/>
        <v>0</v>
      </c>
      <c r="I56" s="4">
        <f t="shared" si="13"/>
        <v>0</v>
      </c>
      <c r="J56" s="4">
        <f t="shared" si="13"/>
        <v>0</v>
      </c>
      <c r="K56" s="6">
        <v>0</v>
      </c>
      <c r="L56" s="7">
        <f t="shared" si="14"/>
        <v>0</v>
      </c>
      <c r="M56" s="7">
        <f t="shared" si="15"/>
        <v>0</v>
      </c>
    </row>
    <row r="57" spans="1:13" x14ac:dyDescent="0.25">
      <c r="A57" s="17" t="s">
        <v>9</v>
      </c>
      <c r="B57" s="65">
        <f>B11+B34</f>
        <v>13462564</v>
      </c>
      <c r="C57" s="4"/>
      <c r="D57" s="4">
        <f>D11+D34</f>
        <v>51547.39</v>
      </c>
      <c r="E57" s="4"/>
      <c r="F57" s="6">
        <f t="shared" si="10"/>
        <v>261.16868380726942</v>
      </c>
      <c r="G57" s="6">
        <f t="shared" si="11"/>
        <v>0</v>
      </c>
      <c r="H57" s="6">
        <f t="shared" si="12"/>
        <v>261.16868380726942</v>
      </c>
      <c r="I57" s="4">
        <f t="shared" si="13"/>
        <v>16927742</v>
      </c>
      <c r="J57" s="4">
        <f t="shared" si="13"/>
        <v>0</v>
      </c>
      <c r="K57" s="6">
        <v>255.65</v>
      </c>
      <c r="L57" s="7">
        <f t="shared" si="14"/>
        <v>-0.20470408870834633</v>
      </c>
      <c r="M57" s="7">
        <f t="shared" si="15"/>
        <v>2.158687192360419E-2</v>
      </c>
    </row>
    <row r="58" spans="1:13" x14ac:dyDescent="0.25">
      <c r="A58" s="17" t="s">
        <v>10</v>
      </c>
      <c r="B58" s="65">
        <f>B12+B35</f>
        <v>4703001.4000000004</v>
      </c>
      <c r="C58" s="4"/>
      <c r="D58" s="4">
        <f>D12+D35</f>
        <v>18053.53</v>
      </c>
      <c r="E58" s="4"/>
      <c r="F58" s="6">
        <f t="shared" si="10"/>
        <v>260.50314813778806</v>
      </c>
      <c r="G58" s="6">
        <f t="shared" si="11"/>
        <v>0</v>
      </c>
      <c r="H58" s="6">
        <f t="shared" si="12"/>
        <v>260.50314813778806</v>
      </c>
      <c r="I58" s="4">
        <f t="shared" si="13"/>
        <v>8842141</v>
      </c>
      <c r="J58" s="4">
        <f t="shared" si="13"/>
        <v>0</v>
      </c>
      <c r="K58" s="6">
        <v>274.14999999999998</v>
      </c>
      <c r="L58" s="7">
        <f t="shared" si="14"/>
        <v>-0.46811508660628681</v>
      </c>
      <c r="M58" s="7">
        <f t="shared" si="15"/>
        <v>-4.9778777538617251E-2</v>
      </c>
    </row>
    <row r="59" spans="1:13" x14ac:dyDescent="0.25">
      <c r="A59" s="17" t="s">
        <v>11</v>
      </c>
      <c r="B59" s="4"/>
      <c r="C59" s="4"/>
      <c r="D59" s="4"/>
      <c r="E59" s="4"/>
      <c r="F59" s="6">
        <f t="shared" si="10"/>
        <v>0</v>
      </c>
      <c r="G59" s="6">
        <f t="shared" si="11"/>
        <v>0</v>
      </c>
      <c r="H59" s="6">
        <f t="shared" si="12"/>
        <v>0</v>
      </c>
      <c r="I59" s="4">
        <f t="shared" si="13"/>
        <v>0</v>
      </c>
      <c r="J59" s="4">
        <f t="shared" si="13"/>
        <v>0</v>
      </c>
      <c r="K59" s="6">
        <v>0</v>
      </c>
      <c r="L59" s="7">
        <f t="shared" si="14"/>
        <v>0</v>
      </c>
      <c r="M59" s="7">
        <f t="shared" si="15"/>
        <v>0</v>
      </c>
    </row>
    <row r="60" spans="1:13" x14ac:dyDescent="0.25">
      <c r="A60" s="17" t="s">
        <v>12</v>
      </c>
      <c r="B60" s="106">
        <f>B14+B37</f>
        <v>59408568.829999998</v>
      </c>
      <c r="C60" s="4"/>
      <c r="D60" s="85">
        <f>D14+D37</f>
        <v>200565.97</v>
      </c>
      <c r="E60" s="4"/>
      <c r="F60" s="6">
        <f>IF(D60=0,0,B60/D60)</f>
        <v>296.20462947926808</v>
      </c>
      <c r="G60" s="6">
        <f t="shared" si="11"/>
        <v>0</v>
      </c>
      <c r="H60" s="6">
        <f>IF(D60+E60=0,0,(B60+C60)/(D60+E60))</f>
        <v>296.20462947926808</v>
      </c>
      <c r="I60" s="4">
        <f t="shared" si="13"/>
        <v>74597381.24000001</v>
      </c>
      <c r="J60" s="4">
        <f t="shared" si="13"/>
        <v>0</v>
      </c>
      <c r="K60" s="6">
        <v>318.52999999999997</v>
      </c>
      <c r="L60" s="7">
        <f>IF(I60=0,0,(B14-I60)/I60)</f>
        <v>-0.646602699427415</v>
      </c>
      <c r="M60" s="7">
        <f t="shared" si="15"/>
        <v>-7.0088753086779573E-2</v>
      </c>
    </row>
    <row r="61" spans="1:13" x14ac:dyDescent="0.25">
      <c r="A61" s="17" t="s">
        <v>13</v>
      </c>
      <c r="B61" s="4"/>
      <c r="C61" s="4"/>
      <c r="D61" s="4"/>
      <c r="E61" s="4"/>
      <c r="F61" s="6">
        <f t="shared" si="10"/>
        <v>0</v>
      </c>
      <c r="G61" s="6">
        <f t="shared" si="11"/>
        <v>0</v>
      </c>
      <c r="H61" s="6">
        <f t="shared" si="12"/>
        <v>0</v>
      </c>
      <c r="I61" s="4">
        <f t="shared" si="13"/>
        <v>0</v>
      </c>
      <c r="J61" s="4">
        <f t="shared" si="13"/>
        <v>0</v>
      </c>
      <c r="K61" s="6"/>
      <c r="L61" s="7">
        <f t="shared" si="14"/>
        <v>0</v>
      </c>
      <c r="M61" s="7">
        <f t="shared" si="15"/>
        <v>0</v>
      </c>
    </row>
    <row r="62" spans="1:13" x14ac:dyDescent="0.25">
      <c r="A62" s="17" t="s">
        <v>14</v>
      </c>
      <c r="B62" s="65">
        <f>B16+B39</f>
        <v>10390505</v>
      </c>
      <c r="C62" s="4"/>
      <c r="D62" s="65">
        <f>D16+D39</f>
        <v>33416.65</v>
      </c>
      <c r="E62" s="4"/>
      <c r="F62" s="6">
        <f t="shared" si="10"/>
        <v>310.93796056756139</v>
      </c>
      <c r="G62" s="6">
        <f t="shared" si="11"/>
        <v>0</v>
      </c>
      <c r="H62" s="6">
        <f t="shared" si="12"/>
        <v>310.93796056756139</v>
      </c>
      <c r="I62" s="4">
        <f t="shared" si="13"/>
        <v>1649929</v>
      </c>
      <c r="J62" s="4">
        <f t="shared" si="13"/>
        <v>0</v>
      </c>
      <c r="K62" s="6">
        <v>327.16000000000003</v>
      </c>
      <c r="L62" s="7">
        <f t="shared" si="14"/>
        <v>5.2975467429204528</v>
      </c>
      <c r="M62" s="7">
        <f t="shared" si="15"/>
        <v>-4.9584421788845319E-2</v>
      </c>
    </row>
    <row r="63" spans="1:13" x14ac:dyDescent="0.25">
      <c r="A63" s="17"/>
      <c r="B63" s="65"/>
      <c r="C63" s="4"/>
      <c r="D63" s="4"/>
      <c r="E63" s="4"/>
      <c r="F63" s="6">
        <f t="shared" si="10"/>
        <v>0</v>
      </c>
      <c r="G63" s="6">
        <f t="shared" si="11"/>
        <v>0</v>
      </c>
      <c r="H63" s="6">
        <f t="shared" si="12"/>
        <v>0</v>
      </c>
      <c r="I63" s="4">
        <f t="shared" si="13"/>
        <v>1444903</v>
      </c>
      <c r="J63" s="4">
        <f t="shared" si="13"/>
        <v>0</v>
      </c>
      <c r="K63" s="6">
        <v>248.55</v>
      </c>
      <c r="L63" s="7">
        <f t="shared" si="14"/>
        <v>-1</v>
      </c>
      <c r="M63" s="7">
        <f t="shared" si="15"/>
        <v>-1</v>
      </c>
    </row>
    <row r="64" spans="1:13" x14ac:dyDescent="0.25">
      <c r="A64" s="17" t="s">
        <v>16</v>
      </c>
      <c r="B64" s="65">
        <f>B18+B41</f>
        <v>68494122.060000002</v>
      </c>
      <c r="C64" s="4"/>
      <c r="D64" s="65">
        <f>D18+D41</f>
        <v>230389.78999999998</v>
      </c>
      <c r="E64" s="4"/>
      <c r="F64" s="6">
        <f t="shared" si="10"/>
        <v>297.29669036114842</v>
      </c>
      <c r="G64" s="6">
        <f t="shared" si="11"/>
        <v>0</v>
      </c>
      <c r="H64" s="6">
        <f t="shared" si="12"/>
        <v>297.29669036114842</v>
      </c>
      <c r="I64" s="4">
        <f t="shared" si="13"/>
        <v>56651731.890000001</v>
      </c>
      <c r="J64" s="4">
        <f t="shared" si="13"/>
        <v>0</v>
      </c>
      <c r="K64" s="6">
        <v>288.87</v>
      </c>
      <c r="L64" s="7">
        <f t="shared" si="14"/>
        <v>0.20903844904502181</v>
      </c>
      <c r="M64" s="7">
        <f t="shared" si="15"/>
        <v>2.9171220137599669E-2</v>
      </c>
    </row>
    <row r="65" spans="1:13" x14ac:dyDescent="0.25">
      <c r="A65" s="17" t="s">
        <v>17</v>
      </c>
      <c r="B65" s="106">
        <f>B19+B42</f>
        <v>2032731</v>
      </c>
      <c r="C65" s="4"/>
      <c r="D65" s="106">
        <f>D19+D42</f>
        <v>7539</v>
      </c>
      <c r="E65" s="4"/>
      <c r="F65" s="6">
        <f>IF(D65=0,0,B65/D65)</f>
        <v>269.62873060087543</v>
      </c>
      <c r="G65" s="6">
        <f t="shared" si="11"/>
        <v>0</v>
      </c>
      <c r="H65" s="6">
        <f t="shared" si="12"/>
        <v>269.62873060087543</v>
      </c>
      <c r="I65" s="4">
        <f t="shared" si="13"/>
        <v>2867359</v>
      </c>
      <c r="J65" s="4">
        <f t="shared" si="13"/>
        <v>0</v>
      </c>
      <c r="K65" s="6">
        <v>258.41000000000003</v>
      </c>
      <c r="L65" s="7">
        <f>IF(I65=0,0,(B42-I65)/I65)</f>
        <v>-0.78606934116028027</v>
      </c>
      <c r="M65" s="7">
        <f t="shared" si="15"/>
        <v>4.3414459970107205E-2</v>
      </c>
    </row>
    <row r="66" spans="1:13" x14ac:dyDescent="0.25">
      <c r="A66" s="17" t="s">
        <v>18</v>
      </c>
      <c r="B66" s="114">
        <f>B20+B43</f>
        <v>7065578.9000000004</v>
      </c>
      <c r="C66" s="106">
        <f>C20+C43</f>
        <v>702678.5</v>
      </c>
      <c r="D66" s="4">
        <f>D20+D43</f>
        <v>24276</v>
      </c>
      <c r="E66" s="4">
        <f>E20+E43</f>
        <v>3555</v>
      </c>
      <c r="F66" s="6">
        <f>IF(D66=0,0,B66/D66)</f>
        <v>291.05202257373537</v>
      </c>
      <c r="G66" s="6">
        <f t="shared" si="11"/>
        <v>197.65921237693391</v>
      </c>
      <c r="H66" s="6">
        <f t="shared" si="12"/>
        <v>279.12246775178761</v>
      </c>
      <c r="I66" s="4">
        <f t="shared" si="13"/>
        <v>5831756</v>
      </c>
      <c r="J66" s="4">
        <f t="shared" si="13"/>
        <v>2724456</v>
      </c>
      <c r="K66" s="6">
        <v>245.46</v>
      </c>
      <c r="L66" s="7">
        <f>IF(I66=0,0,(B43-I66)/I66)</f>
        <v>-0.38206313844406387</v>
      </c>
      <c r="M66" s="7">
        <f t="shared" si="15"/>
        <v>0.1371403395738108</v>
      </c>
    </row>
    <row r="67" spans="1:13" x14ac:dyDescent="0.25">
      <c r="A67" s="17" t="s">
        <v>19</v>
      </c>
      <c r="B67" s="76">
        <f>B21+B44</f>
        <v>23885944</v>
      </c>
      <c r="C67" s="4"/>
      <c r="D67" s="132">
        <f>D21+D44</f>
        <v>76605</v>
      </c>
      <c r="E67" s="4"/>
      <c r="F67" s="6">
        <f t="shared" si="10"/>
        <v>311.80659225899092</v>
      </c>
      <c r="G67" s="6">
        <f t="shared" si="11"/>
        <v>0</v>
      </c>
      <c r="H67" s="6">
        <f t="shared" si="12"/>
        <v>311.80659225899092</v>
      </c>
      <c r="I67" s="4">
        <f t="shared" si="13"/>
        <v>24975385</v>
      </c>
      <c r="J67" s="4">
        <f t="shared" si="13"/>
        <v>1482017</v>
      </c>
      <c r="K67" s="6">
        <v>287.32</v>
      </c>
      <c r="L67" s="7">
        <f t="shared" si="14"/>
        <v>-4.3620588831763757E-2</v>
      </c>
      <c r="M67" s="7">
        <f t="shared" si="15"/>
        <v>8.5224113389220812E-2</v>
      </c>
    </row>
    <row r="68" spans="1:13" x14ac:dyDescent="0.25">
      <c r="A68" s="18" t="s">
        <v>20</v>
      </c>
      <c r="B68" s="8">
        <f>SUM(B53:B67)</f>
        <v>238116562.69</v>
      </c>
      <c r="C68" s="8">
        <f>SUM(C53:C67)</f>
        <v>913991.5</v>
      </c>
      <c r="D68" s="8">
        <f>SUM(D53:D67)</f>
        <v>815101.97</v>
      </c>
      <c r="E68" s="8">
        <f>SUM(E53:E67)</f>
        <v>4587</v>
      </c>
      <c r="F68" s="9">
        <f>IF(D68=0,0,B68/D68)</f>
        <v>292.13101115434677</v>
      </c>
      <c r="G68" s="9">
        <f>IF(E68=0,0,C68/E68)</f>
        <v>199.25692173533901</v>
      </c>
      <c r="H68" s="9">
        <f>IF(D68+E68=0,0,(B68+C68)/(D68+E68))</f>
        <v>291.611285424519</v>
      </c>
      <c r="I68" s="4">
        <f t="shared" si="13"/>
        <v>262779226.56999999</v>
      </c>
      <c r="J68" s="4">
        <f t="shared" si="13"/>
        <v>4290304</v>
      </c>
      <c r="K68" s="9">
        <v>289.79000000000002</v>
      </c>
      <c r="L68" s="32">
        <f t="shared" si="14"/>
        <v>-9.3853171736276012E-2</v>
      </c>
      <c r="M68" s="32">
        <f t="shared" si="15"/>
        <v>6.2848456624416847E-3</v>
      </c>
    </row>
    <row r="71" spans="1:13" x14ac:dyDescent="0.25">
      <c r="I71" s="38"/>
    </row>
    <row r="73" spans="1:13" x14ac:dyDescent="0.25">
      <c r="I73" s="3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3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showZeros="0" topLeftCell="A52" zoomScale="80" zoomScaleNormal="80" workbookViewId="0">
      <selection activeCell="E54" sqref="E54"/>
    </sheetView>
  </sheetViews>
  <sheetFormatPr baseColWidth="10" defaultColWidth="9" defaultRowHeight="15.75" x14ac:dyDescent="0.25"/>
  <cols>
    <col min="1" max="1" width="18.75" style="14" customWidth="1"/>
    <col min="2" max="2" width="17.375" bestFit="1" customWidth="1"/>
    <col min="3" max="3" width="14" customWidth="1"/>
    <col min="4" max="5" width="11.75" customWidth="1"/>
    <col min="6" max="8" width="9.25" customWidth="1"/>
    <col min="9" max="9" width="11.875" customWidth="1"/>
    <col min="10" max="10" width="9.875" customWidth="1"/>
    <col min="11" max="13" width="9.25" customWidth="1"/>
  </cols>
  <sheetData>
    <row r="2" spans="1:13" ht="20.25" x14ac:dyDescent="0.3">
      <c r="A2" s="20" t="str">
        <f>"MÅLESTATISTIKK FOR TØMRERE - 1. HALVÅR "&amp;FORS!$A$14</f>
        <v>MÅLESTATISTIKK FOR TØMRERE - 1. HALVÅR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2016</v>
      </c>
      <c r="G4" s="5"/>
      <c r="H4" s="3"/>
      <c r="I4" s="2" t="str">
        <f>" 1. halvår  "&amp;FORS!$A$14-1</f>
        <v xml:space="preserve"> 1. halvår  2015</v>
      </c>
      <c r="J4" s="5"/>
      <c r="K4" s="3"/>
      <c r="L4" s="47" t="s">
        <v>29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7" t="s">
        <v>25</v>
      </c>
      <c r="B7" s="83">
        <v>3858234</v>
      </c>
      <c r="C7" s="60"/>
      <c r="D7" s="85">
        <v>14424</v>
      </c>
      <c r="E7" s="21"/>
      <c r="F7" s="6">
        <f>IF(D7=0,0,B7/D7)</f>
        <v>267.48710482529117</v>
      </c>
      <c r="G7" s="6">
        <f>IF(E7=0,0,C7/E7)</f>
        <v>0</v>
      </c>
      <c r="H7" s="6">
        <f>IF(D7+E7=0,0,(B7+C7)/(D7+E7))</f>
        <v>267.48710482529117</v>
      </c>
      <c r="I7" s="4">
        <v>7095854</v>
      </c>
      <c r="J7" s="4"/>
      <c r="K7" s="6">
        <v>261.22000000000003</v>
      </c>
      <c r="L7" s="19">
        <f>IF(I7=0,0,(B7-I7)/I7)</f>
        <v>-0.45626925243952315</v>
      </c>
      <c r="M7" s="19">
        <f>IF(K7=0,0,(H7-K7)/K7)</f>
        <v>2.3991673016197614E-2</v>
      </c>
    </row>
    <row r="8" spans="1:13" x14ac:dyDescent="0.25">
      <c r="A8" s="17" t="s">
        <v>7</v>
      </c>
      <c r="B8" s="91">
        <v>5272744.75</v>
      </c>
      <c r="C8" s="81"/>
      <c r="D8" s="91">
        <v>20267.78</v>
      </c>
      <c r="E8" s="21"/>
      <c r="F8" s="6">
        <f t="shared" ref="F8:F14" si="0">IF(D8=0,0,B8/D8)</f>
        <v>260.15403512372842</v>
      </c>
      <c r="G8" s="6">
        <f t="shared" ref="G8:G14" si="1">IF(E8=0,0,C8/E8)</f>
        <v>0</v>
      </c>
      <c r="H8" s="6">
        <f t="shared" ref="H8:H14" si="2">IF(D8+E8=0,0,(B8+C8)/(D8+E8))</f>
        <v>260.15403512372842</v>
      </c>
      <c r="I8" s="4">
        <v>7962793</v>
      </c>
      <c r="J8" s="4"/>
      <c r="K8" s="6">
        <v>242.1</v>
      </c>
      <c r="L8" s="19">
        <f t="shared" ref="L8:L22" si="3">IF(I8=0,0,(B8-I8)/I8)</f>
        <v>-0.3378272234378063</v>
      </c>
      <c r="M8" s="19">
        <f t="shared" ref="M8:M22" si="4">IF(K8=0,0,(H8-K8)/K8)</f>
        <v>7.4572635785743191E-2</v>
      </c>
    </row>
    <row r="9" spans="1:13" x14ac:dyDescent="0.25">
      <c r="A9" s="17" t="s">
        <v>26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4"/>
      <c r="J9" s="4"/>
      <c r="K9" s="6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8</v>
      </c>
      <c r="B10" s="21"/>
      <c r="C10" s="21"/>
      <c r="D10" s="21"/>
      <c r="E10" s="21"/>
      <c r="F10" s="6">
        <f t="shared" si="0"/>
        <v>0</v>
      </c>
      <c r="G10" s="6">
        <f t="shared" si="1"/>
        <v>0</v>
      </c>
      <c r="H10" s="6">
        <f t="shared" si="2"/>
        <v>0</v>
      </c>
      <c r="I10" s="4">
        <v>1966967</v>
      </c>
      <c r="J10" s="4"/>
      <c r="K10" s="6">
        <v>291.58</v>
      </c>
      <c r="L10" s="19"/>
      <c r="M10" s="19"/>
    </row>
    <row r="11" spans="1:13" x14ac:dyDescent="0.25">
      <c r="A11" s="17" t="s">
        <v>10</v>
      </c>
      <c r="B11" s="63">
        <v>8561908.0500000007</v>
      </c>
      <c r="C11" s="63">
        <v>396393.59</v>
      </c>
      <c r="D11" s="63">
        <v>26674.5</v>
      </c>
      <c r="E11" s="63">
        <v>2043.5</v>
      </c>
      <c r="F11" s="6">
        <f t="shared" si="0"/>
        <v>320.97726480346404</v>
      </c>
      <c r="G11" s="6">
        <f t="shared" si="1"/>
        <v>193.97777832150723</v>
      </c>
      <c r="H11" s="6">
        <f t="shared" si="2"/>
        <v>311.94030364231497</v>
      </c>
      <c r="I11" s="4">
        <v>3854584</v>
      </c>
      <c r="J11" s="4">
        <v>387453</v>
      </c>
      <c r="K11" s="6">
        <v>266.83999999999997</v>
      </c>
      <c r="L11" s="19">
        <f t="shared" si="3"/>
        <v>1.2212275176776537</v>
      </c>
      <c r="M11" s="19">
        <f t="shared" si="4"/>
        <v>0.1690162780779306</v>
      </c>
    </row>
    <row r="12" spans="1:13" x14ac:dyDescent="0.25">
      <c r="A12" s="17" t="s">
        <v>11</v>
      </c>
      <c r="B12" s="21"/>
      <c r="C12" s="21"/>
      <c r="D12" s="21"/>
      <c r="E12" s="21"/>
      <c r="F12" s="6">
        <f t="shared" si="0"/>
        <v>0</v>
      </c>
      <c r="G12" s="6">
        <f t="shared" si="1"/>
        <v>0</v>
      </c>
      <c r="H12" s="6">
        <f t="shared" si="2"/>
        <v>0</v>
      </c>
      <c r="I12" s="4">
        <v>7370371</v>
      </c>
      <c r="J12" s="4">
        <v>675503</v>
      </c>
      <c r="K12" s="6">
        <v>306.66000000000003</v>
      </c>
      <c r="L12" s="19">
        <f t="shared" si="3"/>
        <v>-1</v>
      </c>
      <c r="M12" s="19">
        <f t="shared" si="4"/>
        <v>-1</v>
      </c>
    </row>
    <row r="13" spans="1:13" x14ac:dyDescent="0.25">
      <c r="A13" s="17" t="s">
        <v>13</v>
      </c>
      <c r="B13" s="21"/>
      <c r="C13" s="21"/>
      <c r="D13" s="21"/>
      <c r="E13" s="21"/>
      <c r="F13" s="6">
        <f t="shared" si="0"/>
        <v>0</v>
      </c>
      <c r="G13" s="6">
        <f t="shared" si="1"/>
        <v>0</v>
      </c>
      <c r="H13" s="6">
        <f t="shared" si="2"/>
        <v>0</v>
      </c>
      <c r="I13" s="4">
        <v>1494422</v>
      </c>
      <c r="J13" s="4"/>
      <c r="K13" s="6">
        <v>308.32</v>
      </c>
      <c r="L13" s="19">
        <f t="shared" si="3"/>
        <v>-1</v>
      </c>
      <c r="M13" s="19">
        <f t="shared" si="4"/>
        <v>-1</v>
      </c>
    </row>
    <row r="14" spans="1:13" x14ac:dyDescent="0.25">
      <c r="A14" s="17" t="s">
        <v>14</v>
      </c>
      <c r="B14" s="77">
        <v>12825809</v>
      </c>
      <c r="C14" s="72">
        <v>138352</v>
      </c>
      <c r="D14" s="72">
        <v>47460.18</v>
      </c>
      <c r="E14" s="82">
        <v>678</v>
      </c>
      <c r="F14" s="6">
        <f t="shared" si="0"/>
        <v>270.24358103993706</v>
      </c>
      <c r="G14" s="6">
        <f t="shared" si="1"/>
        <v>204.0589970501475</v>
      </c>
      <c r="H14" s="6">
        <f t="shared" si="2"/>
        <v>269.31140728627463</v>
      </c>
      <c r="I14" s="4">
        <v>9273831</v>
      </c>
      <c r="J14" s="4">
        <v>424120</v>
      </c>
      <c r="K14" s="6">
        <v>249.66</v>
      </c>
      <c r="L14" s="19">
        <f t="shared" si="3"/>
        <v>0.38301086142285751</v>
      </c>
      <c r="M14" s="19">
        <f t="shared" si="4"/>
        <v>7.871267838770582E-2</v>
      </c>
    </row>
    <row r="15" spans="1:13" x14ac:dyDescent="0.25">
      <c r="A15" s="17" t="s">
        <v>16</v>
      </c>
      <c r="B15" s="66">
        <v>63949242</v>
      </c>
      <c r="C15" s="65">
        <v>7714029</v>
      </c>
      <c r="D15" s="71">
        <v>223489</v>
      </c>
      <c r="E15" s="65">
        <v>39750</v>
      </c>
      <c r="F15" s="6">
        <f t="shared" ref="F15:F19" si="5">IF(D15=0,0,B15/D15)</f>
        <v>286.14044539104833</v>
      </c>
      <c r="G15" s="6">
        <f t="shared" ref="G15:G19" si="6">IF(E15=0,0,C15/E15)</f>
        <v>194.06362264150943</v>
      </c>
      <c r="H15" s="6">
        <f t="shared" ref="H15:H19" si="7">IF(D15+E15=0,0,(B15+C15)/(D15+E15))</f>
        <v>272.23652650253194</v>
      </c>
      <c r="I15" s="4">
        <v>70962050</v>
      </c>
      <c r="J15" s="4">
        <v>2099348</v>
      </c>
      <c r="K15" s="6">
        <v>282.67</v>
      </c>
      <c r="L15" s="19">
        <f>IF(I15=0,0,(B15-I15)/I15)</f>
        <v>-9.8824766195452357E-2</v>
      </c>
      <c r="M15" s="19">
        <f t="shared" si="4"/>
        <v>-3.6910437957576224E-2</v>
      </c>
    </row>
    <row r="16" spans="1:13" x14ac:dyDescent="0.25">
      <c r="A16" s="17" t="s">
        <v>15</v>
      </c>
      <c r="B16" s="67"/>
      <c r="C16" s="21"/>
      <c r="D16" s="70"/>
      <c r="E16" s="21"/>
      <c r="F16" s="6">
        <f t="shared" si="5"/>
        <v>0</v>
      </c>
      <c r="G16" s="6">
        <f t="shared" si="6"/>
        <v>0</v>
      </c>
      <c r="H16" s="6">
        <f t="shared" si="7"/>
        <v>0</v>
      </c>
      <c r="I16" s="4"/>
      <c r="J16" s="4"/>
      <c r="K16" s="6"/>
      <c r="L16" s="19">
        <f t="shared" ref="L16:L19" si="8">IF(I16=0,0,(B16-I16)/I16)</f>
        <v>0</v>
      </c>
      <c r="M16" s="19">
        <f t="shared" si="4"/>
        <v>0</v>
      </c>
    </row>
    <row r="17" spans="1:13" x14ac:dyDescent="0.25">
      <c r="A17" s="17" t="s">
        <v>17</v>
      </c>
      <c r="B17" s="68">
        <v>4939638</v>
      </c>
      <c r="C17" s="60"/>
      <c r="D17" s="72">
        <v>16135</v>
      </c>
      <c r="E17" s="21"/>
      <c r="F17" s="6">
        <f t="shared" si="5"/>
        <v>306.1442826154323</v>
      </c>
      <c r="G17" s="6">
        <f t="shared" si="6"/>
        <v>0</v>
      </c>
      <c r="H17" s="6">
        <f t="shared" si="7"/>
        <v>306.1442826154323</v>
      </c>
      <c r="I17" s="4">
        <v>5105559</v>
      </c>
      <c r="J17" s="4">
        <v>435336</v>
      </c>
      <c r="K17" s="6">
        <v>226.99</v>
      </c>
      <c r="L17" s="19">
        <f t="shared" si="8"/>
        <v>-3.2498106475706189E-2</v>
      </c>
      <c r="M17" s="19">
        <f t="shared" si="4"/>
        <v>0.34871264203459312</v>
      </c>
    </row>
    <row r="18" spans="1:13" x14ac:dyDescent="0.25">
      <c r="A18" s="17" t="s">
        <v>18</v>
      </c>
      <c r="B18" s="83">
        <v>4100973.4</v>
      </c>
      <c r="C18" s="92">
        <v>43460</v>
      </c>
      <c r="D18" s="85">
        <v>15110</v>
      </c>
      <c r="E18" s="94">
        <v>250</v>
      </c>
      <c r="F18" s="6">
        <f t="shared" si="5"/>
        <v>271.40790205162142</v>
      </c>
      <c r="G18" s="6">
        <f t="shared" si="6"/>
        <v>173.84</v>
      </c>
      <c r="H18" s="6">
        <f t="shared" si="7"/>
        <v>269.8198828125</v>
      </c>
      <c r="I18" s="4">
        <v>10848517</v>
      </c>
      <c r="J18" s="4">
        <v>1077858</v>
      </c>
      <c r="K18" s="6">
        <v>280.27999999999997</v>
      </c>
      <c r="L18" s="19">
        <f t="shared" si="8"/>
        <v>-0.62197843262816477</v>
      </c>
      <c r="M18" s="19">
        <f t="shared" si="4"/>
        <v>-3.7320241142785697E-2</v>
      </c>
    </row>
    <row r="19" spans="1:13" x14ac:dyDescent="0.25">
      <c r="A19" s="43" t="s">
        <v>19</v>
      </c>
      <c r="B19" s="77">
        <v>43848096.32</v>
      </c>
      <c r="C19" s="60"/>
      <c r="D19" s="72">
        <v>141045.70000000001</v>
      </c>
      <c r="E19" s="21"/>
      <c r="F19" s="6">
        <f t="shared" si="5"/>
        <v>310.87864656632564</v>
      </c>
      <c r="G19" s="6">
        <f t="shared" si="6"/>
        <v>0</v>
      </c>
      <c r="H19" s="6">
        <f t="shared" si="7"/>
        <v>310.87864656632564</v>
      </c>
      <c r="I19" s="4">
        <v>38108787</v>
      </c>
      <c r="J19" s="4"/>
      <c r="K19" s="6">
        <v>290.93</v>
      </c>
      <c r="L19" s="19">
        <f t="shared" si="8"/>
        <v>0.15060330626634746</v>
      </c>
      <c r="M19" s="19">
        <f t="shared" si="4"/>
        <v>6.856854420762945E-2</v>
      </c>
    </row>
    <row r="20" spans="1:13" s="11" customFormat="1" x14ac:dyDescent="0.25">
      <c r="A20" s="18" t="s">
        <v>20</v>
      </c>
      <c r="B20" s="69">
        <f>SUM(B7:B19)</f>
        <v>147356645.52000001</v>
      </c>
      <c r="C20" s="64">
        <f>SUM(C7:C19)</f>
        <v>8292234.5899999999</v>
      </c>
      <c r="D20" s="73">
        <f>SUM(D7:D19)</f>
        <v>504606.16</v>
      </c>
      <c r="E20" s="64">
        <f>SUM(E7:E19)</f>
        <v>42721.5</v>
      </c>
      <c r="F20" s="9">
        <f>IF(D20=0,0,B20/D20)</f>
        <v>292.02308097071193</v>
      </c>
      <c r="G20" s="9">
        <f>IF(E20=0,0,C20/E20)</f>
        <v>194.09979963250353</v>
      </c>
      <c r="H20" s="9">
        <f>IF(D20+E20=0,0,(B20+C20)/(D20+E20))</f>
        <v>284.37970796140661</v>
      </c>
      <c r="I20" s="8">
        <f>SUM(I7:I19)</f>
        <v>164043735</v>
      </c>
      <c r="J20" s="8">
        <f>SUM(J7:J19)</f>
        <v>5099618</v>
      </c>
      <c r="K20" s="9">
        <v>277.72000000000003</v>
      </c>
      <c r="L20" s="32">
        <f t="shared" si="3"/>
        <v>-0.10172341833109316</v>
      </c>
      <c r="M20" s="10">
        <f t="shared" si="4"/>
        <v>2.3979936487853164E-2</v>
      </c>
    </row>
    <row r="21" spans="1:13" x14ac:dyDescent="0.25">
      <c r="A21" s="44"/>
      <c r="L21" s="58">
        <f t="shared" si="3"/>
        <v>0</v>
      </c>
      <c r="M21" s="58">
        <f t="shared" si="4"/>
        <v>0</v>
      </c>
    </row>
    <row r="22" spans="1:13" x14ac:dyDescent="0.25">
      <c r="L22" s="58">
        <f t="shared" si="3"/>
        <v>0</v>
      </c>
      <c r="M22" s="58">
        <f t="shared" si="4"/>
        <v>0</v>
      </c>
    </row>
    <row r="23" spans="1:13" ht="20.25" x14ac:dyDescent="0.3">
      <c r="A23" s="20" t="str">
        <f>"MÅLESTATISTIKK FOR TØMRERE - 2. HALVÅR "&amp;FORS!$A$14</f>
        <v>MÅLESTATISTIKK FOR TØMRERE - 2. HALVÅR 2016</v>
      </c>
    </row>
    <row r="24" spans="1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5"/>
      <c r="B25" s="2" t="s">
        <v>4</v>
      </c>
      <c r="C25" s="3"/>
      <c r="D25" s="2" t="s">
        <v>5</v>
      </c>
      <c r="E25" s="3"/>
      <c r="F25" s="2" t="str">
        <f>"Fortjeneste 2. halvår  "&amp;FORS!$A$14-0</f>
        <v>Fortjeneste 2. halvår  2016</v>
      </c>
      <c r="G25" s="5"/>
      <c r="H25" s="3"/>
      <c r="I25" s="2" t="str">
        <f>" 2. halvår  "&amp;FORS!$A$14-1</f>
        <v xml:space="preserve"> 2. halvår  2015</v>
      </c>
      <c r="J25" s="5"/>
      <c r="K25" s="3"/>
      <c r="L25" s="47" t="s">
        <v>29</v>
      </c>
      <c r="M25" s="3"/>
    </row>
    <row r="26" spans="1:13" x14ac:dyDescent="0.25">
      <c r="A26" s="48"/>
      <c r="B26" s="49" t="s">
        <v>6</v>
      </c>
      <c r="C26" s="49" t="s">
        <v>6</v>
      </c>
      <c r="D26" s="49" t="s">
        <v>6</v>
      </c>
      <c r="E26" s="49" t="s">
        <v>6</v>
      </c>
      <c r="F26" s="49" t="s">
        <v>6</v>
      </c>
      <c r="G26" s="49" t="s">
        <v>6</v>
      </c>
      <c r="H26" s="50" t="s">
        <v>33</v>
      </c>
      <c r="I26" s="49" t="s">
        <v>6</v>
      </c>
      <c r="J26" s="49" t="s">
        <v>6</v>
      </c>
      <c r="K26" s="50" t="s">
        <v>31</v>
      </c>
      <c r="L26" s="49" t="s">
        <v>6</v>
      </c>
      <c r="M26" s="50" t="s">
        <v>31</v>
      </c>
    </row>
    <row r="27" spans="1:13" x14ac:dyDescent="0.25">
      <c r="A27" s="52"/>
      <c r="B27" s="53" t="s">
        <v>30</v>
      </c>
      <c r="C27" s="53" t="s">
        <v>32</v>
      </c>
      <c r="D27" s="53" t="s">
        <v>30</v>
      </c>
      <c r="E27" s="53" t="s">
        <v>32</v>
      </c>
      <c r="F27" s="53" t="s">
        <v>30</v>
      </c>
      <c r="G27" s="53" t="s">
        <v>32</v>
      </c>
      <c r="H27" s="54" t="s">
        <v>34</v>
      </c>
      <c r="I27" s="53" t="s">
        <v>30</v>
      </c>
      <c r="J27" s="53" t="s">
        <v>32</v>
      </c>
      <c r="K27" s="54" t="s">
        <v>28</v>
      </c>
      <c r="L27" s="53" t="s">
        <v>30</v>
      </c>
      <c r="M27" s="54" t="s">
        <v>28</v>
      </c>
    </row>
    <row r="28" spans="1:13" x14ac:dyDescent="0.25">
      <c r="A28" s="17" t="s">
        <v>25</v>
      </c>
      <c r="B28" s="83">
        <v>3894027</v>
      </c>
      <c r="C28" s="93">
        <v>1075528</v>
      </c>
      <c r="D28" s="85">
        <v>14044</v>
      </c>
      <c r="E28" s="108">
        <v>5107</v>
      </c>
      <c r="F28" s="6">
        <f t="shared" ref="F28:F39" si="9">IF(D28=0,0,B28/D28)</f>
        <v>277.27335516946738</v>
      </c>
      <c r="G28" s="6">
        <f t="shared" ref="G28:G39" si="10">IF(E28=0,0,C28/E28)</f>
        <v>210.5987859800274</v>
      </c>
      <c r="H28" s="6">
        <f t="shared" ref="H28:H39" si="11">IF(D28+E28=0,0,(B28+C28)/(D28+E28))</f>
        <v>259.49323795102083</v>
      </c>
      <c r="I28" s="4">
        <v>5990442</v>
      </c>
      <c r="J28" s="4">
        <v>405232</v>
      </c>
      <c r="K28" s="6">
        <v>264.74</v>
      </c>
      <c r="L28" s="19">
        <f>IF(I28=0,0,(B28-I28)/I28)</f>
        <v>-0.34995998625810915</v>
      </c>
      <c r="M28" s="19">
        <f>IF(K28=0,0,(H28-K28)/K28)</f>
        <v>-1.9818546683459917E-2</v>
      </c>
    </row>
    <row r="29" spans="1:13" x14ac:dyDescent="0.25">
      <c r="A29" s="17" t="s">
        <v>7</v>
      </c>
      <c r="B29" s="91">
        <v>6037250.9699999997</v>
      </c>
      <c r="C29" s="81"/>
      <c r="D29" s="91">
        <v>24510.99</v>
      </c>
      <c r="E29" s="21"/>
      <c r="F29" s="6">
        <f>IF(D29=0,0,B29/D29)</f>
        <v>246.30792024312356</v>
      </c>
      <c r="G29" s="6">
        <f t="shared" si="10"/>
        <v>0</v>
      </c>
      <c r="H29" s="6">
        <f>IF(D29+E29=0,0,(B29+C29)/(D29+E29))</f>
        <v>246.30792024312356</v>
      </c>
      <c r="I29" s="4">
        <v>2803231</v>
      </c>
      <c r="J29" s="4"/>
      <c r="K29" s="6">
        <v>252.66</v>
      </c>
      <c r="L29" s="19">
        <f t="shared" ref="L29:L41" si="12">IF(I29=0,0,(B29-I29)/I29)</f>
        <v>1.1536758725913061</v>
      </c>
      <c r="M29" s="19">
        <f t="shared" ref="M29:M41" si="13">IF(K29=0,0,(H29-K29)/K29)</f>
        <v>-2.5140820695307667E-2</v>
      </c>
    </row>
    <row r="30" spans="1:13" x14ac:dyDescent="0.25">
      <c r="A30" s="17" t="s">
        <v>26</v>
      </c>
      <c r="B30" s="21"/>
      <c r="C30" s="21"/>
      <c r="D30" s="21"/>
      <c r="E30" s="21"/>
      <c r="F30" s="6">
        <f>IF(D30=0,0,B30/D30)</f>
        <v>0</v>
      </c>
      <c r="G30" s="6">
        <f t="shared" si="10"/>
        <v>0</v>
      </c>
      <c r="H30" s="6">
        <f>IF(D30+E30=0,0,(B30+C30)/(D30+E30))</f>
        <v>0</v>
      </c>
      <c r="I30" s="4">
        <v>828076</v>
      </c>
      <c r="J30" s="4"/>
      <c r="K30" s="6">
        <v>376.81</v>
      </c>
      <c r="L30" s="19">
        <f t="shared" si="12"/>
        <v>-1</v>
      </c>
      <c r="M30" s="19">
        <f t="shared" si="13"/>
        <v>-1</v>
      </c>
    </row>
    <row r="31" spans="1:13" x14ac:dyDescent="0.25">
      <c r="A31" s="17"/>
      <c r="B31" s="21"/>
      <c r="C31" s="21"/>
      <c r="D31" s="21"/>
      <c r="E31" s="21"/>
      <c r="F31" s="6">
        <f t="shared" si="9"/>
        <v>0</v>
      </c>
      <c r="G31" s="6">
        <f t="shared" si="10"/>
        <v>0</v>
      </c>
      <c r="H31" s="6">
        <f t="shared" si="11"/>
        <v>0</v>
      </c>
      <c r="I31" s="4"/>
      <c r="J31" s="4"/>
      <c r="K31" s="6"/>
      <c r="L31" s="19">
        <f t="shared" si="12"/>
        <v>0</v>
      </c>
      <c r="M31" s="19">
        <f t="shared" si="13"/>
        <v>0</v>
      </c>
    </row>
    <row r="32" spans="1:13" x14ac:dyDescent="0.25">
      <c r="A32" s="17" t="s">
        <v>10</v>
      </c>
      <c r="B32" s="63">
        <v>3223014.72</v>
      </c>
      <c r="C32" s="63">
        <v>2315729.34</v>
      </c>
      <c r="D32" s="63">
        <v>12639.76</v>
      </c>
      <c r="E32" s="21">
        <v>15494.25</v>
      </c>
      <c r="F32" s="6">
        <f t="shared" si="9"/>
        <v>254.99018335791186</v>
      </c>
      <c r="G32" s="6">
        <f t="shared" si="10"/>
        <v>149.45733675395709</v>
      </c>
      <c r="H32" s="6">
        <f t="shared" si="11"/>
        <v>196.87005371790229</v>
      </c>
      <c r="I32" s="4">
        <v>5061733</v>
      </c>
      <c r="J32" s="4"/>
      <c r="K32" s="6">
        <v>274.68</v>
      </c>
      <c r="L32" s="19">
        <f t="shared" si="12"/>
        <v>-0.36325864679152375</v>
      </c>
      <c r="M32" s="19">
        <f t="shared" si="13"/>
        <v>-0.28327488816840579</v>
      </c>
    </row>
    <row r="33" spans="1:13" x14ac:dyDescent="0.25">
      <c r="A33" s="17" t="s">
        <v>11</v>
      </c>
      <c r="B33" s="21"/>
      <c r="C33" s="21"/>
      <c r="D33" s="21"/>
      <c r="E33" s="21"/>
      <c r="F33" s="6">
        <f t="shared" si="9"/>
        <v>0</v>
      </c>
      <c r="G33" s="6">
        <f t="shared" si="10"/>
        <v>0</v>
      </c>
      <c r="H33" s="6">
        <f t="shared" si="11"/>
        <v>0</v>
      </c>
      <c r="I33" s="4">
        <v>485125</v>
      </c>
      <c r="J33" s="4"/>
      <c r="K33" s="6">
        <v>242.44</v>
      </c>
      <c r="L33" s="19">
        <f t="shared" si="12"/>
        <v>-1</v>
      </c>
      <c r="M33" s="19">
        <f t="shared" si="13"/>
        <v>-1</v>
      </c>
    </row>
    <row r="34" spans="1:13" x14ac:dyDescent="0.25">
      <c r="A34" s="17" t="s">
        <v>13</v>
      </c>
      <c r="B34" s="21"/>
      <c r="C34" s="21"/>
      <c r="D34" s="21"/>
      <c r="E34" s="21"/>
      <c r="F34" s="6">
        <f t="shared" si="9"/>
        <v>0</v>
      </c>
      <c r="G34" s="6">
        <f t="shared" si="10"/>
        <v>0</v>
      </c>
      <c r="H34" s="6">
        <f t="shared" si="11"/>
        <v>0</v>
      </c>
      <c r="I34" s="4"/>
      <c r="J34" s="4"/>
      <c r="K34" s="6"/>
      <c r="L34" s="19">
        <f t="shared" si="12"/>
        <v>0</v>
      </c>
      <c r="M34" s="19">
        <f t="shared" si="13"/>
        <v>0</v>
      </c>
    </row>
    <row r="35" spans="1:13" x14ac:dyDescent="0.25">
      <c r="A35" s="17" t="s">
        <v>14</v>
      </c>
      <c r="B35" s="63">
        <v>13084266.380000001</v>
      </c>
      <c r="C35" s="63">
        <v>179280</v>
      </c>
      <c r="D35" s="105">
        <v>45857.1</v>
      </c>
      <c r="E35" s="21">
        <v>878</v>
      </c>
      <c r="F35" s="6">
        <f>IF(D35=0,0,B35/D35)</f>
        <v>285.32694784449956</v>
      </c>
      <c r="G35" s="6">
        <f>IF(E35=0,0,C35/E35)</f>
        <v>204.19134396355352</v>
      </c>
      <c r="H35" s="6">
        <f>IF(D35+E35=0,0,(B35+C35)/(D35+E35))</f>
        <v>283.80267464924651</v>
      </c>
      <c r="I35" s="4">
        <v>9681769</v>
      </c>
      <c r="J35" s="4"/>
      <c r="K35" s="6">
        <v>239.4</v>
      </c>
      <c r="L35" s="19">
        <f t="shared" si="12"/>
        <v>0.35143343948817629</v>
      </c>
      <c r="M35" s="19">
        <f t="shared" si="13"/>
        <v>0.18547483145048665</v>
      </c>
    </row>
    <row r="36" spans="1:13" x14ac:dyDescent="0.25">
      <c r="A36" s="17" t="s">
        <v>16</v>
      </c>
      <c r="B36" s="63">
        <v>95137382</v>
      </c>
      <c r="C36" s="63">
        <v>4282432</v>
      </c>
      <c r="D36" s="21">
        <v>320141</v>
      </c>
      <c r="E36" s="21">
        <v>21126</v>
      </c>
      <c r="F36" s="6">
        <f t="shared" si="9"/>
        <v>297.17337673087798</v>
      </c>
      <c r="G36" s="6">
        <f t="shared" si="10"/>
        <v>202.7090788601723</v>
      </c>
      <c r="H36" s="6">
        <f t="shared" si="11"/>
        <v>291.32560136198344</v>
      </c>
      <c r="I36" s="4">
        <v>69545888</v>
      </c>
      <c r="J36" s="4">
        <v>5171885</v>
      </c>
      <c r="K36" s="6">
        <v>264.36</v>
      </c>
      <c r="L36" s="19">
        <f t="shared" si="12"/>
        <v>0.3679799731653437</v>
      </c>
      <c r="M36" s="19">
        <f t="shared" si="13"/>
        <v>0.10200333394607138</v>
      </c>
    </row>
    <row r="37" spans="1:13" x14ac:dyDescent="0.25">
      <c r="A37" s="17"/>
      <c r="B37" s="21"/>
      <c r="C37" s="21"/>
      <c r="D37" s="21"/>
      <c r="E37" s="21"/>
      <c r="F37" s="6">
        <f t="shared" si="9"/>
        <v>0</v>
      </c>
      <c r="G37" s="6">
        <f t="shared" si="10"/>
        <v>0</v>
      </c>
      <c r="H37" s="6">
        <f t="shared" si="11"/>
        <v>0</v>
      </c>
      <c r="I37" s="4"/>
      <c r="J37" s="4"/>
      <c r="K37" s="6">
        <v>0</v>
      </c>
      <c r="L37" s="19">
        <f t="shared" si="12"/>
        <v>0</v>
      </c>
      <c r="M37" s="19">
        <f t="shared" si="13"/>
        <v>0</v>
      </c>
    </row>
    <row r="38" spans="1:13" x14ac:dyDescent="0.25">
      <c r="A38" s="17" t="s">
        <v>17</v>
      </c>
      <c r="B38" s="63">
        <v>3605981</v>
      </c>
      <c r="C38" s="21">
        <v>1732422</v>
      </c>
      <c r="D38" s="21">
        <v>13403</v>
      </c>
      <c r="E38" s="21">
        <v>8357</v>
      </c>
      <c r="F38" s="6">
        <f>IF(D38=0,0,B38/D38)</f>
        <v>269.04282623293295</v>
      </c>
      <c r="G38" s="6">
        <f t="shared" si="10"/>
        <v>207.30190259662558</v>
      </c>
      <c r="H38" s="6">
        <f t="shared" si="11"/>
        <v>245.33102022058824</v>
      </c>
      <c r="I38" s="4">
        <v>2476641</v>
      </c>
      <c r="J38" s="4">
        <v>1644948</v>
      </c>
      <c r="K38" s="6">
        <v>233.59</v>
      </c>
      <c r="L38" s="19">
        <f t="shared" si="12"/>
        <v>0.45599665030175951</v>
      </c>
      <c r="M38" s="19">
        <f t="shared" si="13"/>
        <v>5.0263368383013998E-2</v>
      </c>
    </row>
    <row r="39" spans="1:13" x14ac:dyDescent="0.25">
      <c r="A39" s="17" t="s">
        <v>18</v>
      </c>
      <c r="B39" s="63">
        <v>3816941</v>
      </c>
      <c r="C39" s="63">
        <v>1185810</v>
      </c>
      <c r="D39" s="21">
        <v>14230</v>
      </c>
      <c r="E39" s="21">
        <v>6208</v>
      </c>
      <c r="F39" s="6">
        <f t="shared" si="9"/>
        <v>268.23197470133522</v>
      </c>
      <c r="G39" s="6">
        <f t="shared" si="10"/>
        <v>191.01320876288659</v>
      </c>
      <c r="H39" s="6">
        <f t="shared" si="11"/>
        <v>244.77693512085332</v>
      </c>
      <c r="I39" s="4">
        <v>3383309</v>
      </c>
      <c r="J39" s="4"/>
      <c r="K39" s="6">
        <v>284.8</v>
      </c>
      <c r="L39" s="19">
        <f t="shared" si="12"/>
        <v>0.1281680153955787</v>
      </c>
      <c r="M39" s="19">
        <f t="shared" si="13"/>
        <v>-0.14053042443520605</v>
      </c>
    </row>
    <row r="40" spans="1:13" x14ac:dyDescent="0.25">
      <c r="A40" s="17" t="s">
        <v>19</v>
      </c>
      <c r="B40" s="63">
        <v>43016139.350000001</v>
      </c>
      <c r="C40" s="21"/>
      <c r="D40" s="99">
        <v>131030.2</v>
      </c>
      <c r="E40" s="21"/>
      <c r="F40" s="6">
        <f>IF(D40=0,0,B40/D40)</f>
        <v>328.29179341861646</v>
      </c>
      <c r="G40" s="6">
        <f>IF(E40=0,0,C40/E40)</f>
        <v>0</v>
      </c>
      <c r="H40" s="6">
        <f>IF(D40+E40=0,0,(B40+C40)/(D40+E40))</f>
        <v>328.29179341861646</v>
      </c>
      <c r="I40" s="4">
        <v>8924526.8499999996</v>
      </c>
      <c r="J40" s="4"/>
      <c r="K40" s="6">
        <v>319.81</v>
      </c>
      <c r="L40" s="19">
        <f t="shared" si="12"/>
        <v>3.8199910284319443</v>
      </c>
      <c r="M40" s="19">
        <f t="shared" si="13"/>
        <v>2.6521351485621032E-2</v>
      </c>
    </row>
    <row r="41" spans="1:13" s="11" customFormat="1" x14ac:dyDescent="0.25">
      <c r="A41" s="18" t="s">
        <v>20</v>
      </c>
      <c r="B41" s="8">
        <f>SUM(B28:B40)</f>
        <v>171815002.41999999</v>
      </c>
      <c r="C41" s="8">
        <f>SUM(C28:C40)</f>
        <v>10771201.34</v>
      </c>
      <c r="D41" s="8">
        <f>SUM(D28:D40)</f>
        <v>575856.04999999993</v>
      </c>
      <c r="E41" s="8">
        <f>SUM(E28:E40)</f>
        <v>57170.25</v>
      </c>
      <c r="F41" s="9">
        <f>IF(D41=0,0,B41/D41)</f>
        <v>298.36449998224384</v>
      </c>
      <c r="G41" s="9">
        <f>IF(E41=0,0,C41/E41)</f>
        <v>188.40570646446361</v>
      </c>
      <c r="H41" s="9">
        <f>IF(D41+E41=0,0,(B41+C41)/(D41+E41))</f>
        <v>288.43383562420712</v>
      </c>
      <c r="I41" s="8">
        <f>SUM(I28:I40)</f>
        <v>109180740.84999999</v>
      </c>
      <c r="J41" s="8">
        <f>SUM(J28:J40)</f>
        <v>7222065</v>
      </c>
      <c r="K41" s="9">
        <v>265.52</v>
      </c>
      <c r="L41" s="32">
        <f t="shared" si="12"/>
        <v>0.57367500057589138</v>
      </c>
      <c r="M41" s="32">
        <f t="shared" si="13"/>
        <v>8.6297964839587002E-2</v>
      </c>
    </row>
    <row r="44" spans="1:13" ht="20.25" x14ac:dyDescent="0.3">
      <c r="A44" s="20" t="str">
        <f>"MÅLESTATISTIKK FOR TØMRERE - GJENNOMSNITT HELE ÅRET  "&amp;FORS!$A$14</f>
        <v>MÅLESTATISTIKK FOR TØMRERE - GJENNOMSNITT HELE ÅRET  2016</v>
      </c>
    </row>
    <row r="45" spans="1:1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5"/>
      <c r="B46" s="2" t="s">
        <v>4</v>
      </c>
      <c r="C46" s="3"/>
      <c r="D46" s="2" t="s">
        <v>5</v>
      </c>
      <c r="E46" s="3"/>
      <c r="F46" s="2" t="str">
        <f>"Fortjeneste hele  "&amp;FORS!$A$14-0</f>
        <v>Fortjeneste hele  2016</v>
      </c>
      <c r="G46" s="5"/>
      <c r="H46" s="3"/>
      <c r="I46" s="2" t="str">
        <f>" Hele året  "&amp;FORS!$A$14-1</f>
        <v xml:space="preserve"> Hele året  2015</v>
      </c>
      <c r="J46" s="5"/>
      <c r="K46" s="3"/>
      <c r="L46" s="47" t="s">
        <v>29</v>
      </c>
      <c r="M46" s="3"/>
    </row>
    <row r="47" spans="1:13" x14ac:dyDescent="0.25">
      <c r="A47" s="48"/>
      <c r="B47" s="49" t="s">
        <v>6</v>
      </c>
      <c r="C47" s="49" t="s">
        <v>6</v>
      </c>
      <c r="D47" s="49" t="s">
        <v>6</v>
      </c>
      <c r="E47" s="49" t="s">
        <v>6</v>
      </c>
      <c r="F47" s="49" t="s">
        <v>6</v>
      </c>
      <c r="G47" s="49" t="s">
        <v>6</v>
      </c>
      <c r="H47" s="50" t="s">
        <v>33</v>
      </c>
      <c r="I47" s="49" t="s">
        <v>6</v>
      </c>
      <c r="J47" s="49" t="s">
        <v>6</v>
      </c>
      <c r="K47" s="50" t="s">
        <v>31</v>
      </c>
      <c r="L47" s="49" t="s">
        <v>6</v>
      </c>
      <c r="M47" s="50" t="s">
        <v>31</v>
      </c>
    </row>
    <row r="48" spans="1:13" x14ac:dyDescent="0.25">
      <c r="A48" s="52"/>
      <c r="B48" s="53" t="s">
        <v>30</v>
      </c>
      <c r="C48" s="53" t="s">
        <v>32</v>
      </c>
      <c r="D48" s="53" t="s">
        <v>30</v>
      </c>
      <c r="E48" s="53" t="s">
        <v>32</v>
      </c>
      <c r="F48" s="53" t="s">
        <v>30</v>
      </c>
      <c r="G48" s="53" t="s">
        <v>32</v>
      </c>
      <c r="H48" s="54" t="s">
        <v>34</v>
      </c>
      <c r="I48" s="53" t="s">
        <v>30</v>
      </c>
      <c r="J48" s="53" t="s">
        <v>32</v>
      </c>
      <c r="K48" s="54" t="s">
        <v>28</v>
      </c>
      <c r="L48" s="53" t="s">
        <v>30</v>
      </c>
      <c r="M48" s="54" t="s">
        <v>28</v>
      </c>
    </row>
    <row r="49" spans="1:13" x14ac:dyDescent="0.25">
      <c r="A49" s="43" t="s">
        <v>25</v>
      </c>
      <c r="B49" s="4">
        <f>B7+B28</f>
        <v>7752261</v>
      </c>
      <c r="C49" s="4">
        <f>C7+C28</f>
        <v>1075528</v>
      </c>
      <c r="D49" s="4">
        <f>D7+D28</f>
        <v>28468</v>
      </c>
      <c r="E49" s="4">
        <f>E7+E28</f>
        <v>5107</v>
      </c>
      <c r="F49" s="6">
        <f>IF(D49=0,0,B49/D49)</f>
        <v>272.31491499227201</v>
      </c>
      <c r="G49" s="6">
        <f t="shared" ref="G49" si="14">IF(E49=0,0,C49/E49)</f>
        <v>210.5987859800274</v>
      </c>
      <c r="H49" s="6">
        <f t="shared" ref="H49" si="15">IF(D49+E49=0,0,(B49+C49)/(D49+E49))</f>
        <v>262.92744601638123</v>
      </c>
      <c r="I49" s="4">
        <f>I7+I28</f>
        <v>13086296</v>
      </c>
      <c r="J49" s="4">
        <f>J7+J28</f>
        <v>405232</v>
      </c>
      <c r="K49" s="6">
        <v>263</v>
      </c>
      <c r="L49" s="19">
        <f>IF(I49=0,0,(B49-I49)/I49)</f>
        <v>-0.40760464229144749</v>
      </c>
      <c r="M49" s="19">
        <f>IF(K49=0,0,(H49-K49)/K49)</f>
        <v>-2.758706601474333E-4</v>
      </c>
    </row>
    <row r="50" spans="1:13" x14ac:dyDescent="0.25">
      <c r="A50" s="17" t="s">
        <v>7</v>
      </c>
      <c r="B50" s="4">
        <f>B8+B29</f>
        <v>11309995.719999999</v>
      </c>
      <c r="C50" s="4"/>
      <c r="D50" s="4">
        <f>D8+D29</f>
        <v>44778.770000000004</v>
      </c>
      <c r="E50" s="4"/>
      <c r="F50" s="6">
        <f t="shared" ref="F50:F58" si="16">IF(D50=0,0,B50/D50)</f>
        <v>252.57495281804296</v>
      </c>
      <c r="G50" s="6">
        <f t="shared" ref="G50:G61" si="17">IF(E50=0,0,C50/E50)</f>
        <v>0</v>
      </c>
      <c r="H50" s="6">
        <f t="shared" ref="H50:H55" si="18">IF(D50+E50=0,0,(B50+C50)/(D50+E50))</f>
        <v>252.57495281804296</v>
      </c>
      <c r="I50" s="4">
        <f t="shared" ref="I50:J62" si="19">I8+I29</f>
        <v>10766024</v>
      </c>
      <c r="J50" s="4">
        <f t="shared" si="19"/>
        <v>0</v>
      </c>
      <c r="K50" s="6">
        <v>245</v>
      </c>
      <c r="L50" s="19">
        <f t="shared" ref="L50:L62" si="20">IF(I50=0,0,(B50-I50)/I50)</f>
        <v>5.052670512345122E-2</v>
      </c>
      <c r="M50" s="19">
        <f t="shared" ref="M50:M62" si="21">IF(K50=0,0,(H50-K50)/K50)</f>
        <v>3.0918174767522281E-2</v>
      </c>
    </row>
    <row r="51" spans="1:13" x14ac:dyDescent="0.25">
      <c r="A51" s="17" t="s">
        <v>26</v>
      </c>
      <c r="B51" s="4"/>
      <c r="C51" s="4"/>
      <c r="D51" s="4"/>
      <c r="E51" s="4"/>
      <c r="F51" s="6">
        <f t="shared" si="16"/>
        <v>0</v>
      </c>
      <c r="G51" s="6">
        <f t="shared" si="17"/>
        <v>0</v>
      </c>
      <c r="H51" s="6">
        <f t="shared" si="18"/>
        <v>0</v>
      </c>
      <c r="I51" s="4">
        <f t="shared" si="19"/>
        <v>828076</v>
      </c>
      <c r="J51" s="4">
        <f t="shared" si="19"/>
        <v>0</v>
      </c>
      <c r="K51" s="6">
        <v>377</v>
      </c>
      <c r="L51" s="19">
        <f t="shared" si="20"/>
        <v>-1</v>
      </c>
      <c r="M51" s="19">
        <f t="shared" si="21"/>
        <v>-1</v>
      </c>
    </row>
    <row r="52" spans="1:13" x14ac:dyDescent="0.25">
      <c r="A52" s="17"/>
      <c r="B52" s="4"/>
      <c r="C52" s="4"/>
      <c r="D52" s="4"/>
      <c r="E52" s="4"/>
      <c r="F52" s="6">
        <f t="shared" si="16"/>
        <v>0</v>
      </c>
      <c r="G52" s="6">
        <f t="shared" si="17"/>
        <v>0</v>
      </c>
      <c r="H52" s="6">
        <f t="shared" si="18"/>
        <v>0</v>
      </c>
      <c r="I52" s="4">
        <f t="shared" si="19"/>
        <v>1966967</v>
      </c>
      <c r="J52" s="4">
        <f t="shared" si="19"/>
        <v>0</v>
      </c>
      <c r="K52" s="6">
        <v>292</v>
      </c>
      <c r="L52" s="19">
        <f t="shared" si="20"/>
        <v>-1</v>
      </c>
      <c r="M52" s="19">
        <f t="shared" si="21"/>
        <v>-1</v>
      </c>
    </row>
    <row r="53" spans="1:13" x14ac:dyDescent="0.25">
      <c r="A53" s="17" t="s">
        <v>10</v>
      </c>
      <c r="B53" s="4">
        <f>B11+B32</f>
        <v>11784922.770000001</v>
      </c>
      <c r="C53" s="4">
        <f>C11+C32</f>
        <v>2712122.9299999997</v>
      </c>
      <c r="D53" s="4">
        <f>D11+D32</f>
        <v>39314.26</v>
      </c>
      <c r="E53" s="4">
        <f>E11+E32</f>
        <v>17537.75</v>
      </c>
      <c r="F53" s="6">
        <f t="shared" si="16"/>
        <v>299.76203977895045</v>
      </c>
      <c r="G53" s="6">
        <f t="shared" si="17"/>
        <v>154.64486208322046</v>
      </c>
      <c r="H53" s="6">
        <f t="shared" si="18"/>
        <v>254.99618571093617</v>
      </c>
      <c r="I53" s="4">
        <f t="shared" si="19"/>
        <v>8916317</v>
      </c>
      <c r="J53" s="4">
        <f t="shared" si="19"/>
        <v>387453</v>
      </c>
      <c r="K53" s="6">
        <v>271</v>
      </c>
      <c r="L53" s="19">
        <f t="shared" si="20"/>
        <v>0.32172541308255431</v>
      </c>
      <c r="M53" s="19">
        <f t="shared" si="21"/>
        <v>-5.9054665273298251E-2</v>
      </c>
    </row>
    <row r="54" spans="1:13" x14ac:dyDescent="0.25">
      <c r="A54" s="17" t="s">
        <v>11</v>
      </c>
      <c r="B54" s="4"/>
      <c r="C54" s="4"/>
      <c r="D54" s="4"/>
      <c r="E54" s="4"/>
      <c r="F54" s="6">
        <f t="shared" si="16"/>
        <v>0</v>
      </c>
      <c r="G54" s="6">
        <f t="shared" si="17"/>
        <v>0</v>
      </c>
      <c r="H54" s="6">
        <f t="shared" si="18"/>
        <v>0</v>
      </c>
      <c r="I54" s="4">
        <f t="shared" si="19"/>
        <v>7855496</v>
      </c>
      <c r="J54" s="4">
        <f t="shared" si="19"/>
        <v>675503</v>
      </c>
      <c r="K54" s="6">
        <v>302</v>
      </c>
      <c r="L54" s="19">
        <f t="shared" si="20"/>
        <v>-1</v>
      </c>
      <c r="M54" s="19">
        <f t="shared" si="21"/>
        <v>-1</v>
      </c>
    </row>
    <row r="55" spans="1:13" x14ac:dyDescent="0.25">
      <c r="A55" s="17" t="s">
        <v>13</v>
      </c>
      <c r="B55" s="4"/>
      <c r="C55" s="4"/>
      <c r="D55" s="4"/>
      <c r="E55" s="4"/>
      <c r="F55" s="6">
        <f t="shared" si="16"/>
        <v>0</v>
      </c>
      <c r="G55" s="6">
        <f t="shared" si="17"/>
        <v>0</v>
      </c>
      <c r="H55" s="6">
        <f t="shared" si="18"/>
        <v>0</v>
      </c>
      <c r="I55" s="4">
        <f t="shared" si="19"/>
        <v>1494422</v>
      </c>
      <c r="J55" s="4">
        <f t="shared" si="19"/>
        <v>0</v>
      </c>
      <c r="K55" s="6">
        <v>308</v>
      </c>
      <c r="L55" s="19">
        <f t="shared" si="20"/>
        <v>-1</v>
      </c>
      <c r="M55" s="19">
        <f t="shared" si="21"/>
        <v>-1</v>
      </c>
    </row>
    <row r="56" spans="1:13" x14ac:dyDescent="0.25">
      <c r="A56" s="17" t="s">
        <v>14</v>
      </c>
      <c r="B56" s="4">
        <f t="shared" ref="B56:E57" si="22">B14+B35</f>
        <v>25910075.380000003</v>
      </c>
      <c r="C56" s="4">
        <f t="shared" si="22"/>
        <v>317632</v>
      </c>
      <c r="D56" s="4">
        <f t="shared" si="22"/>
        <v>93317.28</v>
      </c>
      <c r="E56" s="4">
        <f t="shared" si="22"/>
        <v>1556</v>
      </c>
      <c r="F56" s="6">
        <f t="shared" si="16"/>
        <v>277.6557072816525</v>
      </c>
      <c r="G56" s="6">
        <f>IF(E56=0,0,C56/E56)</f>
        <v>204.13367609254499</v>
      </c>
      <c r="H56" s="6">
        <f>IF(D56+E56=0,0,(B56+C56)/(D56+E56))</f>
        <v>276.44988536287565</v>
      </c>
      <c r="I56" s="4">
        <f t="shared" si="19"/>
        <v>18955600</v>
      </c>
      <c r="J56" s="4">
        <f t="shared" si="19"/>
        <v>424120</v>
      </c>
      <c r="K56" s="6">
        <v>244</v>
      </c>
      <c r="L56" s="19">
        <f t="shared" si="20"/>
        <v>0.36688236616092357</v>
      </c>
      <c r="M56" s="19">
        <f t="shared" si="21"/>
        <v>0.13299133345440839</v>
      </c>
    </row>
    <row r="57" spans="1:13" x14ac:dyDescent="0.25">
      <c r="A57" s="17" t="s">
        <v>16</v>
      </c>
      <c r="B57" s="4">
        <f t="shared" si="22"/>
        <v>159086624</v>
      </c>
      <c r="C57" s="4">
        <f t="shared" si="22"/>
        <v>11996461</v>
      </c>
      <c r="D57" s="4">
        <f t="shared" si="22"/>
        <v>543630</v>
      </c>
      <c r="E57" s="4">
        <f t="shared" si="22"/>
        <v>60876</v>
      </c>
      <c r="F57" s="6">
        <f t="shared" si="16"/>
        <v>292.63768371870572</v>
      </c>
      <c r="G57" s="6">
        <f t="shared" si="17"/>
        <v>197.06388396083844</v>
      </c>
      <c r="H57" s="6">
        <f t="shared" ref="H57:H59" si="23">IF(D57+E57=0,0,(B57+C57)/(D57+E57))</f>
        <v>283.01304701690304</v>
      </c>
      <c r="I57" s="4">
        <f t="shared" si="19"/>
        <v>140507938</v>
      </c>
      <c r="J57" s="4">
        <f t="shared" si="19"/>
        <v>7271233</v>
      </c>
      <c r="K57" s="6">
        <v>273</v>
      </c>
      <c r="L57" s="19">
        <f t="shared" si="20"/>
        <v>0.13222517008256146</v>
      </c>
      <c r="M57" s="19">
        <f t="shared" si="21"/>
        <v>3.6677827900743754E-2</v>
      </c>
    </row>
    <row r="58" spans="1:13" x14ac:dyDescent="0.25">
      <c r="A58" s="17"/>
      <c r="B58" s="4"/>
      <c r="C58" s="4"/>
      <c r="D58" s="4"/>
      <c r="E58" s="4"/>
      <c r="F58" s="6">
        <f t="shared" si="16"/>
        <v>0</v>
      </c>
      <c r="G58" s="6">
        <f t="shared" si="17"/>
        <v>0</v>
      </c>
      <c r="H58" s="6">
        <f t="shared" si="23"/>
        <v>0</v>
      </c>
      <c r="I58" s="4">
        <f t="shared" si="19"/>
        <v>0</v>
      </c>
      <c r="J58" s="4">
        <f t="shared" si="19"/>
        <v>0</v>
      </c>
      <c r="K58" s="6"/>
      <c r="L58" s="19">
        <f t="shared" si="20"/>
        <v>0</v>
      </c>
      <c r="M58" s="19">
        <f t="shared" si="21"/>
        <v>0</v>
      </c>
    </row>
    <row r="59" spans="1:13" x14ac:dyDescent="0.25">
      <c r="A59" s="17" t="s">
        <v>17</v>
      </c>
      <c r="B59" s="114">
        <f>B17+B38</f>
        <v>8545619</v>
      </c>
      <c r="C59" s="61"/>
      <c r="D59" s="114">
        <f>D17+D38</f>
        <v>29538</v>
      </c>
      <c r="E59" s="4"/>
      <c r="F59" s="6">
        <f>IF(D59=0,0,B59/D59)</f>
        <v>289.30933035412011</v>
      </c>
      <c r="G59" s="6">
        <f t="shared" si="17"/>
        <v>0</v>
      </c>
      <c r="H59" s="6">
        <f t="shared" si="23"/>
        <v>289.30933035412011</v>
      </c>
      <c r="I59" s="4">
        <f t="shared" si="19"/>
        <v>7582200</v>
      </c>
      <c r="J59" s="4">
        <f t="shared" si="19"/>
        <v>2080284</v>
      </c>
      <c r="K59" s="6">
        <v>230</v>
      </c>
      <c r="L59" s="19">
        <f>IF(I59=0,0,(B17-I59)/I59)</f>
        <v>-0.34852180106037828</v>
      </c>
      <c r="M59" s="19">
        <f t="shared" si="21"/>
        <v>0.25786665371356571</v>
      </c>
    </row>
    <row r="60" spans="1:13" x14ac:dyDescent="0.25">
      <c r="A60" s="17" t="s">
        <v>18</v>
      </c>
      <c r="B60" s="114">
        <f>B18+B39</f>
        <v>7917914.4000000004</v>
      </c>
      <c r="C60" s="65">
        <f>C18+C39</f>
        <v>1229270</v>
      </c>
      <c r="D60" s="114">
        <f>D18+D39</f>
        <v>29340</v>
      </c>
      <c r="E60" s="4">
        <f>E18+E39</f>
        <v>6458</v>
      </c>
      <c r="F60" s="6">
        <f>IF(D60=0,0,B60/D60)</f>
        <v>269.8675664621677</v>
      </c>
      <c r="G60" s="6">
        <f>IF(E60=0,0,C60/E60)</f>
        <v>190.34840507897181</v>
      </c>
      <c r="H60" s="6">
        <f>IF(D60+E60=0,0,(B60+C60)/(D60+E60))</f>
        <v>255.52221911838652</v>
      </c>
      <c r="I60" s="4">
        <f t="shared" si="19"/>
        <v>14231826</v>
      </c>
      <c r="J60" s="4">
        <f t="shared" si="19"/>
        <v>1077858</v>
      </c>
      <c r="K60" s="6">
        <v>281</v>
      </c>
      <c r="L60" s="19">
        <f>IF(I60=0,0,(B18-I60)/I60)</f>
        <v>-0.71184488905359011</v>
      </c>
      <c r="M60" s="19">
        <f t="shared" si="21"/>
        <v>-9.0668259365172546E-2</v>
      </c>
    </row>
    <row r="61" spans="1:13" x14ac:dyDescent="0.25">
      <c r="A61" s="17" t="s">
        <v>19</v>
      </c>
      <c r="B61" s="114">
        <f>B19+B40</f>
        <v>86864235.670000002</v>
      </c>
      <c r="C61" s="61"/>
      <c r="D61" s="114">
        <f>D19+D40</f>
        <v>272075.90000000002</v>
      </c>
      <c r="E61" s="4"/>
      <c r="F61" s="6">
        <f>IF(D61=0,0,B61/D61)</f>
        <v>319.26471866857736</v>
      </c>
      <c r="G61" s="6">
        <f t="shared" si="17"/>
        <v>0</v>
      </c>
      <c r="H61" s="6">
        <f>IF(D61+E61=0,0,(B61+C61)/(D61+E61))</f>
        <v>319.26471866857736</v>
      </c>
      <c r="I61" s="4">
        <f t="shared" si="19"/>
        <v>47033313.850000001</v>
      </c>
      <c r="J61" s="4">
        <f t="shared" si="19"/>
        <v>0</v>
      </c>
      <c r="K61" s="6">
        <v>296</v>
      </c>
      <c r="L61" s="19">
        <f>IF(I61=0,0,(B19-I61)/I61)</f>
        <v>-6.7722583617186499E-2</v>
      </c>
      <c r="M61" s="19">
        <f t="shared" si="21"/>
        <v>7.8597022528977559E-2</v>
      </c>
    </row>
    <row r="62" spans="1:13" s="11" customFormat="1" x14ac:dyDescent="0.25">
      <c r="A62" s="18" t="s">
        <v>20</v>
      </c>
      <c r="B62" s="8">
        <f>SUM(B49:B61)</f>
        <v>319171647.94</v>
      </c>
      <c r="C62" s="8">
        <f>SUM(C49:C61)</f>
        <v>17331013.93</v>
      </c>
      <c r="D62" s="8">
        <f>SUM(D49:D61)</f>
        <v>1080462.21</v>
      </c>
      <c r="E62" s="8">
        <f>SUM(E49:E61)</f>
        <v>91534.75</v>
      </c>
      <c r="F62" s="9">
        <f>IF(D62=0,0,B62/D62)</f>
        <v>295.40287942139133</v>
      </c>
      <c r="G62" s="9">
        <f>IF(E62=0,0,C62/E62)</f>
        <v>189.33808122052008</v>
      </c>
      <c r="H62" s="9">
        <f>IF(D62+E62=0,0,(B62+C62)/(D62+E62))</f>
        <v>287.11905692144461</v>
      </c>
      <c r="I62" s="4">
        <f t="shared" si="19"/>
        <v>273224475.85000002</v>
      </c>
      <c r="J62" s="4">
        <f t="shared" si="19"/>
        <v>12321683</v>
      </c>
      <c r="K62" s="9">
        <v>273</v>
      </c>
      <c r="L62" s="32">
        <f t="shared" si="20"/>
        <v>0.16816638387559732</v>
      </c>
      <c r="M62" s="10">
        <f t="shared" si="21"/>
        <v>5.1718157221408829E-2</v>
      </c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1" max="16383" man="1"/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showZeros="0" zoomScale="84" zoomScaleNormal="84" workbookViewId="0">
      <selection activeCell="A64" sqref="A64"/>
    </sheetView>
  </sheetViews>
  <sheetFormatPr baseColWidth="10" defaultColWidth="9" defaultRowHeight="15.75" x14ac:dyDescent="0.25"/>
  <cols>
    <col min="1" max="1" width="16.5" style="14" customWidth="1"/>
    <col min="2" max="2" width="13.875" customWidth="1"/>
    <col min="3" max="3" width="11.625" customWidth="1"/>
    <col min="4" max="5" width="11.75" customWidth="1"/>
    <col min="6" max="8" width="9.25" customWidth="1"/>
    <col min="9" max="9" width="11.375" customWidth="1"/>
    <col min="10" max="10" width="12.625" bestFit="1" customWidth="1"/>
    <col min="11" max="13" width="9.25" customWidth="1"/>
  </cols>
  <sheetData>
    <row r="2" spans="1:13" ht="20.25" x14ac:dyDescent="0.3">
      <c r="A2" s="20" t="str">
        <f>"MÅLESTATISTIKK FOR MALERE - 1. HALVÅR "&amp;FORS!$A$14</f>
        <v>MÅLESTATISTIKK FOR MALERE - 1. HALVÅR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2016</v>
      </c>
      <c r="G4" s="5"/>
      <c r="H4" s="3"/>
      <c r="I4" s="2" t="str">
        <f>" 1. halvår  "&amp;FORS!$A$14-1</f>
        <v xml:space="preserve"> 1. halvår  2015</v>
      </c>
      <c r="J4" s="5"/>
      <c r="K4" s="3"/>
      <c r="L4" s="47" t="s">
        <v>29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7" t="s">
        <v>25</v>
      </c>
      <c r="B7" s="21"/>
      <c r="C7" s="21"/>
      <c r="D7" s="21"/>
      <c r="E7" s="21"/>
      <c r="F7" s="6">
        <f>IF(D7=0,0,B7/D7)</f>
        <v>0</v>
      </c>
      <c r="H7" s="6">
        <f>IF(D7+E7=0,0,(B7+C7)/(D7+E7))</f>
        <v>0</v>
      </c>
      <c r="I7" s="4"/>
      <c r="J7" s="4"/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7</v>
      </c>
      <c r="B8" s="85">
        <v>2304272.1</v>
      </c>
      <c r="C8" s="60"/>
      <c r="D8" s="85">
        <v>10362.75</v>
      </c>
      <c r="E8" s="21"/>
      <c r="F8" s="6">
        <f t="shared" ref="F8:F17" si="0">IF(D8=0,0,B8/D8)</f>
        <v>222.36106245928929</v>
      </c>
      <c r="G8" s="6">
        <f t="shared" ref="G8:G17" si="1">IF(E8=0,0,C8/E8)</f>
        <v>0</v>
      </c>
      <c r="H8" s="6">
        <f>IF(D8+E8=0,0,(B8+C8)/(D8+E8))</f>
        <v>222.36106245928929</v>
      </c>
      <c r="I8" s="4">
        <v>2190258</v>
      </c>
      <c r="J8" s="4"/>
      <c r="K8" s="6">
        <v>238.26</v>
      </c>
      <c r="L8" s="19">
        <f t="shared" ref="L8:L18" si="2">IF(I8=0,0,(B8-I8)/I8)</f>
        <v>5.2055100358040056E-2</v>
      </c>
      <c r="M8" s="19">
        <f>IF(K8=0,0,(H8-K8)/K8)</f>
        <v>-6.6729360953205349E-2</v>
      </c>
    </row>
    <row r="9" spans="1:13" x14ac:dyDescent="0.25">
      <c r="A9" s="17" t="s">
        <v>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ref="H9:H13" si="3">IF(D9+E9=0,0,(B9+C9)/(D9+E9))</f>
        <v>0</v>
      </c>
      <c r="I9" s="4"/>
      <c r="J9" s="4"/>
      <c r="K9" s="6">
        <v>0</v>
      </c>
      <c r="L9" s="19">
        <f t="shared" si="2"/>
        <v>0</v>
      </c>
      <c r="M9" s="19">
        <f t="shared" ref="M9:M13" si="4">IF(K9=0,0,(H9-K9)/K9)</f>
        <v>0</v>
      </c>
    </row>
    <row r="10" spans="1:13" x14ac:dyDescent="0.25">
      <c r="A10" s="17" t="s">
        <v>10</v>
      </c>
      <c r="B10" s="63">
        <v>1028373</v>
      </c>
      <c r="C10" s="96">
        <v>230756</v>
      </c>
      <c r="D10" s="63">
        <v>4018</v>
      </c>
      <c r="E10" s="21">
        <v>1438</v>
      </c>
      <c r="F10" s="6">
        <f>IF(D10=0,0,B10/D10)</f>
        <v>255.9415131906421</v>
      </c>
      <c r="G10" s="6">
        <f>IF(E10=0,0,C10/E10)</f>
        <v>160.47009735744089</v>
      </c>
      <c r="H10" s="6">
        <f t="shared" si="3"/>
        <v>230.77877565982405</v>
      </c>
      <c r="I10" s="4">
        <v>1131851</v>
      </c>
      <c r="J10" s="4">
        <v>312564</v>
      </c>
      <c r="K10" s="6">
        <v>216.07</v>
      </c>
      <c r="L10" s="19">
        <f t="shared" si="2"/>
        <v>-9.1423694461550145E-2</v>
      </c>
      <c r="M10" s="19">
        <f t="shared" si="4"/>
        <v>6.8074122552062091E-2</v>
      </c>
    </row>
    <row r="11" spans="1:13" x14ac:dyDescent="0.25">
      <c r="A11" s="17" t="s">
        <v>11</v>
      </c>
      <c r="B11" s="21"/>
      <c r="C11" s="21"/>
      <c r="D11" s="21"/>
      <c r="E11" s="21"/>
      <c r="F11" s="6">
        <f t="shared" si="0"/>
        <v>0</v>
      </c>
      <c r="G11" s="6">
        <f t="shared" ref="G11:G13" si="5">IF(E11=0,0,C11/E11)</f>
        <v>0</v>
      </c>
      <c r="H11" s="6">
        <f t="shared" si="3"/>
        <v>0</v>
      </c>
      <c r="I11" s="4"/>
      <c r="J11" s="4"/>
      <c r="K11" s="6">
        <v>0</v>
      </c>
      <c r="L11" s="19">
        <f t="shared" si="2"/>
        <v>0</v>
      </c>
      <c r="M11" s="19">
        <f t="shared" si="4"/>
        <v>0</v>
      </c>
    </row>
    <row r="12" spans="1:13" x14ac:dyDescent="0.25">
      <c r="A12" s="17" t="s">
        <v>12</v>
      </c>
      <c r="B12" s="21"/>
      <c r="C12" s="21"/>
      <c r="D12" s="21"/>
      <c r="E12" s="21"/>
      <c r="F12" s="6">
        <f t="shared" si="0"/>
        <v>0</v>
      </c>
      <c r="G12" s="6">
        <f t="shared" si="5"/>
        <v>0</v>
      </c>
      <c r="H12" s="6">
        <f t="shared" si="3"/>
        <v>0</v>
      </c>
      <c r="I12" s="4"/>
      <c r="J12" s="4"/>
      <c r="K12" s="6">
        <v>0</v>
      </c>
      <c r="L12" s="19">
        <f t="shared" si="2"/>
        <v>0</v>
      </c>
      <c r="M12" s="19">
        <f t="shared" si="4"/>
        <v>0</v>
      </c>
    </row>
    <row r="13" spans="1:13" x14ac:dyDescent="0.25">
      <c r="A13" s="17" t="s">
        <v>14</v>
      </c>
      <c r="B13" s="89">
        <v>391124</v>
      </c>
      <c r="D13" s="89">
        <v>1379.5</v>
      </c>
      <c r="E13" s="21"/>
      <c r="F13" s="6">
        <f>IF(D13=0,0,B13/D13)</f>
        <v>283.52591518666185</v>
      </c>
      <c r="G13" s="6">
        <f t="shared" si="5"/>
        <v>0</v>
      </c>
      <c r="H13" s="6">
        <f t="shared" si="3"/>
        <v>283.52591518666185</v>
      </c>
      <c r="I13" s="4">
        <v>184665</v>
      </c>
      <c r="J13" s="4"/>
      <c r="K13" s="6">
        <v>328.59</v>
      </c>
      <c r="L13" s="19">
        <f t="shared" si="2"/>
        <v>1.11801911569599</v>
      </c>
      <c r="M13" s="19">
        <f t="shared" si="4"/>
        <v>-0.13714381086867564</v>
      </c>
    </row>
    <row r="14" spans="1:13" x14ac:dyDescent="0.25">
      <c r="A14" s="17" t="s">
        <v>15</v>
      </c>
      <c r="B14" s="21"/>
      <c r="C14" s="21"/>
      <c r="D14" s="21"/>
      <c r="E14" s="21"/>
      <c r="F14" s="6">
        <f t="shared" si="0"/>
        <v>0</v>
      </c>
      <c r="G14" s="6">
        <f t="shared" si="1"/>
        <v>0</v>
      </c>
      <c r="H14" s="6">
        <f t="shared" ref="H11:H17" si="6">IF(D14+E14=0,0,(B14+C14)/(D14+E14))</f>
        <v>0</v>
      </c>
      <c r="I14" s="4"/>
      <c r="J14" s="4"/>
      <c r="K14" s="6">
        <v>0</v>
      </c>
      <c r="L14" s="19">
        <f t="shared" si="2"/>
        <v>0</v>
      </c>
      <c r="M14" s="19">
        <f t="shared" ref="M14:M18" si="7">IF(K14=0,0,(H14-K14)/K14)</f>
        <v>0</v>
      </c>
    </row>
    <row r="15" spans="1:13" x14ac:dyDescent="0.25">
      <c r="A15" s="17" t="s">
        <v>16</v>
      </c>
      <c r="B15" s="83">
        <v>16358897</v>
      </c>
      <c r="C15" s="93">
        <v>1486845</v>
      </c>
      <c r="D15" s="85">
        <v>62231.99</v>
      </c>
      <c r="E15" s="94">
        <v>7674.15</v>
      </c>
      <c r="F15" s="6">
        <f>IF(D15=0,0,B15/D15)</f>
        <v>262.86957881308314</v>
      </c>
      <c r="G15" s="6">
        <f>IF(E15=0,0,C15/E15)</f>
        <v>193.7471902425676</v>
      </c>
      <c r="H15" s="6">
        <f>IF(D15+E15=0,0,(B15+C15)/(D15+E15))</f>
        <v>255.28146740758393</v>
      </c>
      <c r="I15" s="4">
        <v>13944578</v>
      </c>
      <c r="J15" s="4">
        <v>575160</v>
      </c>
      <c r="K15" s="6">
        <v>252.38</v>
      </c>
      <c r="L15" s="19">
        <f t="shared" si="2"/>
        <v>0.17313675609258308</v>
      </c>
      <c r="M15" s="19">
        <f t="shared" si="7"/>
        <v>1.149642367693136E-2</v>
      </c>
    </row>
    <row r="16" spans="1:13" x14ac:dyDescent="0.25">
      <c r="A16" s="17" t="s">
        <v>17</v>
      </c>
      <c r="B16" s="100">
        <v>479063</v>
      </c>
      <c r="C16" s="101"/>
      <c r="D16" s="100">
        <v>1404</v>
      </c>
      <c r="E16" s="101"/>
      <c r="F16" s="6">
        <f>IF(D16=0,0,B16/D16)</f>
        <v>341.21296296296299</v>
      </c>
      <c r="G16" s="6">
        <f>IF(E16=0,0,C16/E16)</f>
        <v>0</v>
      </c>
      <c r="H16" s="6">
        <f>IF(D16+E16=0,0,(B16+C16)/(D16+E16))</f>
        <v>341.21296296296299</v>
      </c>
      <c r="I16" s="4">
        <v>552798</v>
      </c>
      <c r="J16" s="4"/>
      <c r="K16" s="6">
        <v>334.12</v>
      </c>
      <c r="L16" s="19">
        <f t="shared" si="2"/>
        <v>-0.13338507013411771</v>
      </c>
      <c r="M16" s="19">
        <f t="shared" si="7"/>
        <v>2.1228788946974098E-2</v>
      </c>
    </row>
    <row r="17" spans="1:16" x14ac:dyDescent="0.25">
      <c r="A17" s="17" t="s">
        <v>19</v>
      </c>
      <c r="B17" s="97">
        <v>2692486.09</v>
      </c>
      <c r="C17" s="21"/>
      <c r="D17" s="97">
        <v>9366.5</v>
      </c>
      <c r="E17" s="21"/>
      <c r="F17" s="6">
        <f t="shared" si="0"/>
        <v>287.45914589227567</v>
      </c>
      <c r="G17" s="6">
        <f t="shared" si="1"/>
        <v>0</v>
      </c>
      <c r="H17" s="6">
        <f t="shared" si="6"/>
        <v>287.45914589227567</v>
      </c>
      <c r="I17" s="4">
        <v>2192426</v>
      </c>
      <c r="J17" s="4"/>
      <c r="K17" s="6">
        <v>268.06</v>
      </c>
      <c r="L17" s="19">
        <f t="shared" si="2"/>
        <v>0.22808527631035203</v>
      </c>
      <c r="M17" s="19">
        <f t="shared" si="7"/>
        <v>7.2368670791150003E-2</v>
      </c>
    </row>
    <row r="18" spans="1:16" s="11" customFormat="1" x14ac:dyDescent="0.25">
      <c r="A18" s="18" t="s">
        <v>20</v>
      </c>
      <c r="B18" s="64">
        <f>SUM(B7:B17)</f>
        <v>23254215.190000001</v>
      </c>
      <c r="C18" s="8">
        <f>SUM(C7:C17)</f>
        <v>1717601</v>
      </c>
      <c r="D18" s="64">
        <f>SUM(D7:D17)</f>
        <v>88762.739999999991</v>
      </c>
      <c r="E18" s="8">
        <f>SUM(E7:E17)</f>
        <v>9112.15</v>
      </c>
      <c r="F18" s="9">
        <f>IF(D18=0,0,B18/D18)</f>
        <v>261.9817187932685</v>
      </c>
      <c r="G18" s="9">
        <f>IF(E18=0,0,C18/E18)</f>
        <v>188.49568982073387</v>
      </c>
      <c r="H18" s="9">
        <f>IF(D18+E18=0,0,(B18+C18)/(D18+E18))</f>
        <v>255.14017119201876</v>
      </c>
      <c r="I18" s="8">
        <f>SUM(I7:I17)</f>
        <v>20196576</v>
      </c>
      <c r="J18" s="8">
        <f>SUM(J7:J17)</f>
        <v>887724</v>
      </c>
      <c r="K18" s="9">
        <v>251.59</v>
      </c>
      <c r="L18" s="32">
        <f t="shared" si="2"/>
        <v>0.1513939387547672</v>
      </c>
      <c r="M18" s="32">
        <f t="shared" si="7"/>
        <v>1.4110939194796104E-2</v>
      </c>
    </row>
    <row r="21" spans="1:16" ht="20.25" x14ac:dyDescent="0.3">
      <c r="A21" s="20" t="str">
        <f>"MÅLESTATISTIKK FOR MALERE - 2. HALVÅR "&amp;FORS!$A$14</f>
        <v>MÅLESTATISTIKK FOR MALERE - 2. HALVÅR 2016</v>
      </c>
    </row>
    <row r="22" spans="1:16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6" x14ac:dyDescent="0.25">
      <c r="A23" s="15"/>
      <c r="B23" s="2" t="s">
        <v>4</v>
      </c>
      <c r="C23" s="3"/>
      <c r="D23" s="2" t="s">
        <v>5</v>
      </c>
      <c r="E23" s="3"/>
      <c r="F23" s="2" t="str">
        <f>"Fortjeneste 2. halvår  "&amp;FORS!$A$14-0</f>
        <v>Fortjeneste 2. halvår  2016</v>
      </c>
      <c r="G23" s="5"/>
      <c r="H23" s="3"/>
      <c r="I23" s="2" t="str">
        <f>" 2. halvår  "&amp;FORS!$A$14-1</f>
        <v xml:space="preserve"> 2. halvår  2015</v>
      </c>
      <c r="J23" s="5"/>
      <c r="K23" s="3"/>
      <c r="L23" s="47" t="s">
        <v>29</v>
      </c>
      <c r="M23" s="3"/>
    </row>
    <row r="24" spans="1:16" x14ac:dyDescent="0.25">
      <c r="A24" s="48"/>
      <c r="B24" s="49" t="s">
        <v>6</v>
      </c>
      <c r="C24" s="49" t="s">
        <v>6</v>
      </c>
      <c r="D24" s="49" t="s">
        <v>6</v>
      </c>
      <c r="E24" s="49" t="s">
        <v>6</v>
      </c>
      <c r="F24" s="49" t="s">
        <v>6</v>
      </c>
      <c r="G24" s="49" t="s">
        <v>6</v>
      </c>
      <c r="H24" s="50" t="s">
        <v>33</v>
      </c>
      <c r="I24" s="49" t="s">
        <v>6</v>
      </c>
      <c r="J24" s="49" t="s">
        <v>6</v>
      </c>
      <c r="K24" s="50" t="s">
        <v>31</v>
      </c>
      <c r="L24" s="49" t="s">
        <v>6</v>
      </c>
      <c r="M24" s="50" t="s">
        <v>31</v>
      </c>
    </row>
    <row r="25" spans="1:16" x14ac:dyDescent="0.25">
      <c r="A25" s="52"/>
      <c r="B25" s="53" t="s">
        <v>30</v>
      </c>
      <c r="C25" s="53" t="s">
        <v>32</v>
      </c>
      <c r="D25" s="53" t="s">
        <v>30</v>
      </c>
      <c r="E25" s="53" t="s">
        <v>32</v>
      </c>
      <c r="F25" s="53" t="s">
        <v>30</v>
      </c>
      <c r="G25" s="53" t="s">
        <v>32</v>
      </c>
      <c r="H25" s="54" t="s">
        <v>34</v>
      </c>
      <c r="I25" s="53" t="s">
        <v>30</v>
      </c>
      <c r="J25" s="53" t="s">
        <v>32</v>
      </c>
      <c r="K25" s="54" t="s">
        <v>28</v>
      </c>
      <c r="L25" s="53" t="s">
        <v>30</v>
      </c>
      <c r="M25" s="54" t="s">
        <v>28</v>
      </c>
    </row>
    <row r="26" spans="1:16" x14ac:dyDescent="0.25">
      <c r="A26" s="17" t="s">
        <v>25</v>
      </c>
      <c r="B26" s="21"/>
      <c r="C26" s="21"/>
      <c r="D26" s="21"/>
      <c r="E26" s="21"/>
      <c r="F26" s="6">
        <f>IF(D26=0,0,B26/D26)</f>
        <v>0</v>
      </c>
      <c r="G26" s="6">
        <f>IF(E26=0,0,C26/E26)</f>
        <v>0</v>
      </c>
      <c r="H26" s="6">
        <f>IF(D26+E26=0,0,(B26+C26)/(D26+E26))</f>
        <v>0</v>
      </c>
      <c r="I26" s="4"/>
      <c r="J26" s="4"/>
      <c r="K26" s="6">
        <v>0</v>
      </c>
      <c r="L26" s="19">
        <f>IF(I26=0,0,(B26-I26)/I26)</f>
        <v>0</v>
      </c>
      <c r="M26" s="19">
        <f>IF(K26=0,0,(H26-K26)/K26)</f>
        <v>0</v>
      </c>
    </row>
    <row r="27" spans="1:16" x14ac:dyDescent="0.25">
      <c r="A27" s="17" t="s">
        <v>7</v>
      </c>
      <c r="B27" s="99">
        <v>3144106.83</v>
      </c>
      <c r="C27" s="60"/>
      <c r="D27" s="99">
        <v>13316.52</v>
      </c>
      <c r="E27" s="21"/>
      <c r="F27" s="6">
        <f t="shared" ref="F27:F36" si="8">IF(D27=0,0,B27/D27)</f>
        <v>236.10574159014516</v>
      </c>
      <c r="G27" s="6">
        <f t="shared" ref="G27:G36" si="9">IF(E27=0,0,C27/E27)</f>
        <v>0</v>
      </c>
      <c r="H27" s="6">
        <f t="shared" ref="H27:H36" si="10">IF(D27+E27=0,0,(B27+C27)/(D27+E27))</f>
        <v>236.10574159014516</v>
      </c>
      <c r="I27" s="4">
        <v>2828479</v>
      </c>
      <c r="J27" s="4"/>
      <c r="K27" s="6">
        <v>222.02</v>
      </c>
      <c r="L27" s="19">
        <f t="shared" ref="L27:L37" si="11">IF(I27=0,0,(B27-I27)/I27)</f>
        <v>0.11158924284041001</v>
      </c>
      <c r="M27" s="19">
        <f t="shared" ref="M27:M37" si="12">IF(K27=0,0,(H27-K27)/K27)</f>
        <v>6.3443570805085794E-2</v>
      </c>
    </row>
    <row r="28" spans="1:16" x14ac:dyDescent="0.25">
      <c r="A28" s="17" t="s">
        <v>8</v>
      </c>
      <c r="B28" s="21"/>
      <c r="C28" s="21"/>
      <c r="D28" s="21"/>
      <c r="E28" s="21"/>
      <c r="F28" s="6">
        <f t="shared" si="8"/>
        <v>0</v>
      </c>
      <c r="G28" s="6">
        <f t="shared" si="9"/>
        <v>0</v>
      </c>
      <c r="H28" s="6">
        <f t="shared" si="10"/>
        <v>0</v>
      </c>
      <c r="I28" s="4"/>
      <c r="J28" s="4"/>
      <c r="K28" s="6">
        <v>0</v>
      </c>
      <c r="L28" s="19">
        <f t="shared" si="11"/>
        <v>0</v>
      </c>
      <c r="M28" s="19">
        <f t="shared" si="12"/>
        <v>0</v>
      </c>
    </row>
    <row r="29" spans="1:16" x14ac:dyDescent="0.25">
      <c r="A29" s="17" t="s">
        <v>10</v>
      </c>
      <c r="B29" s="63">
        <v>1699069</v>
      </c>
      <c r="C29" s="63">
        <v>38242</v>
      </c>
      <c r="D29" s="63">
        <v>6396</v>
      </c>
      <c r="E29" s="63">
        <v>209</v>
      </c>
      <c r="F29" s="6">
        <f t="shared" si="8"/>
        <v>265.64555972482799</v>
      </c>
      <c r="G29" s="6">
        <f>IF(E29=0,0,C29/E29)</f>
        <v>182.97607655502392</v>
      </c>
      <c r="H29" s="6">
        <f t="shared" si="10"/>
        <v>263.02967448902348</v>
      </c>
      <c r="I29" s="4">
        <v>2383637</v>
      </c>
      <c r="J29" s="4">
        <v>272041</v>
      </c>
      <c r="K29" s="6">
        <v>232.91</v>
      </c>
      <c r="L29" s="19">
        <f t="shared" si="11"/>
        <v>-0.28719473644686672</v>
      </c>
      <c r="M29" s="19">
        <f t="shared" si="12"/>
        <v>0.12931894074545311</v>
      </c>
    </row>
    <row r="30" spans="1:16" x14ac:dyDescent="0.25">
      <c r="A30" s="17" t="s">
        <v>11</v>
      </c>
      <c r="B30" s="21"/>
      <c r="C30" s="21"/>
      <c r="D30" s="21"/>
      <c r="E30" s="21"/>
      <c r="F30" s="6">
        <f t="shared" si="8"/>
        <v>0</v>
      </c>
      <c r="G30" s="6">
        <f t="shared" si="9"/>
        <v>0</v>
      </c>
      <c r="H30" s="6">
        <f t="shared" si="10"/>
        <v>0</v>
      </c>
      <c r="I30" s="4"/>
      <c r="J30" s="4"/>
      <c r="K30" s="6">
        <v>0</v>
      </c>
      <c r="L30" s="19">
        <f t="shared" si="11"/>
        <v>0</v>
      </c>
      <c r="M30" s="19">
        <f t="shared" si="12"/>
        <v>0</v>
      </c>
      <c r="P30" s="6"/>
    </row>
    <row r="31" spans="1:16" x14ac:dyDescent="0.25">
      <c r="A31" s="17" t="s">
        <v>12</v>
      </c>
      <c r="B31" s="21"/>
      <c r="C31" s="21"/>
      <c r="D31" s="21"/>
      <c r="E31" s="21"/>
      <c r="F31" s="6">
        <f t="shared" si="8"/>
        <v>0</v>
      </c>
      <c r="G31" s="6">
        <f t="shared" si="9"/>
        <v>0</v>
      </c>
      <c r="H31" s="6">
        <f t="shared" si="10"/>
        <v>0</v>
      </c>
      <c r="I31" s="4"/>
      <c r="J31" s="4"/>
      <c r="K31" s="6">
        <v>0</v>
      </c>
      <c r="L31" s="19">
        <f t="shared" si="11"/>
        <v>0</v>
      </c>
      <c r="M31" s="19">
        <f t="shared" si="12"/>
        <v>0</v>
      </c>
      <c r="P31" s="6"/>
    </row>
    <row r="32" spans="1:16" x14ac:dyDescent="0.25">
      <c r="A32" s="17" t="s">
        <v>14</v>
      </c>
      <c r="B32" s="63">
        <v>161575.4</v>
      </c>
      <c r="C32" s="21"/>
      <c r="D32" s="21">
        <v>375.5</v>
      </c>
      <c r="E32" s="21"/>
      <c r="F32" s="6">
        <f t="shared" si="8"/>
        <v>430.29400798934751</v>
      </c>
      <c r="G32" s="6">
        <f t="shared" si="9"/>
        <v>0</v>
      </c>
      <c r="H32" s="6">
        <f t="shared" si="10"/>
        <v>430.29400798934751</v>
      </c>
      <c r="I32" s="4">
        <v>265062</v>
      </c>
      <c r="J32" s="4"/>
      <c r="K32" s="6">
        <v>275.25</v>
      </c>
      <c r="L32" s="19">
        <f t="shared" si="11"/>
        <v>-0.39042412718533781</v>
      </c>
      <c r="M32" s="19">
        <f t="shared" si="12"/>
        <v>0.5632843160375931</v>
      </c>
      <c r="P32" s="6"/>
    </row>
    <row r="33" spans="1:16" x14ac:dyDescent="0.25">
      <c r="A33" s="17" t="s">
        <v>15</v>
      </c>
      <c r="B33" s="21"/>
      <c r="C33" s="21"/>
      <c r="D33" s="21"/>
      <c r="E33" s="21"/>
      <c r="F33" s="6">
        <f t="shared" si="8"/>
        <v>0</v>
      </c>
      <c r="G33" s="6">
        <f t="shared" si="9"/>
        <v>0</v>
      </c>
      <c r="H33" s="6">
        <f t="shared" si="10"/>
        <v>0</v>
      </c>
      <c r="I33" s="4"/>
      <c r="J33" s="4"/>
      <c r="K33" s="6">
        <v>0</v>
      </c>
      <c r="L33" s="19">
        <f t="shared" si="11"/>
        <v>0</v>
      </c>
      <c r="M33" s="19">
        <f t="shared" si="12"/>
        <v>0</v>
      </c>
      <c r="P33" s="6"/>
    </row>
    <row r="34" spans="1:16" x14ac:dyDescent="0.25">
      <c r="A34" s="17" t="s">
        <v>16</v>
      </c>
      <c r="B34" s="83">
        <v>23031833</v>
      </c>
      <c r="C34" s="93">
        <v>2481659</v>
      </c>
      <c r="D34" s="85">
        <v>85578.8</v>
      </c>
      <c r="E34" s="108">
        <v>12132.86</v>
      </c>
      <c r="F34" s="6">
        <f t="shared" si="8"/>
        <v>269.13012334830586</v>
      </c>
      <c r="G34" s="6">
        <f t="shared" si="9"/>
        <v>204.54031448479583</v>
      </c>
      <c r="H34" s="6">
        <f t="shared" si="10"/>
        <v>261.1100046811199</v>
      </c>
      <c r="I34" s="4">
        <v>22479509</v>
      </c>
      <c r="J34" s="4">
        <v>3033398</v>
      </c>
      <c r="K34" s="6">
        <v>253.03</v>
      </c>
      <c r="L34" s="19">
        <f t="shared" si="11"/>
        <v>2.4570109605151963E-2</v>
      </c>
      <c r="M34" s="19">
        <f t="shared" si="12"/>
        <v>3.1932990875073716E-2</v>
      </c>
      <c r="P34" s="6"/>
    </row>
    <row r="35" spans="1:16" x14ac:dyDescent="0.25">
      <c r="A35" s="17" t="s">
        <v>17</v>
      </c>
      <c r="B35" s="135">
        <v>254968</v>
      </c>
      <c r="C35" s="104"/>
      <c r="D35" s="104">
        <v>806</v>
      </c>
      <c r="E35" s="21"/>
      <c r="F35" s="6">
        <f>IF(D35=0,0,B35/D35)</f>
        <v>316.3374689826303</v>
      </c>
      <c r="G35" s="6">
        <f>IF(E35=0,0,C35/E35)</f>
        <v>0</v>
      </c>
      <c r="H35" s="6">
        <f>IF(D35+E35=0,0,(B35+C35)/(D35+E35))</f>
        <v>316.3374689826303</v>
      </c>
      <c r="I35" s="4"/>
      <c r="J35" s="4"/>
      <c r="K35" s="6"/>
      <c r="L35" s="19">
        <f t="shared" si="11"/>
        <v>0</v>
      </c>
      <c r="M35" s="19">
        <f t="shared" si="12"/>
        <v>0</v>
      </c>
      <c r="P35" s="6"/>
    </row>
    <row r="36" spans="1:16" x14ac:dyDescent="0.25">
      <c r="A36" s="17" t="s">
        <v>27</v>
      </c>
      <c r="B36" s="97">
        <v>5854138</v>
      </c>
      <c r="C36" s="133"/>
      <c r="D36" s="134">
        <v>20013</v>
      </c>
      <c r="E36" s="21"/>
      <c r="F36" s="6">
        <f t="shared" si="8"/>
        <v>292.51676410333283</v>
      </c>
      <c r="G36" s="6">
        <f t="shared" si="9"/>
        <v>0</v>
      </c>
      <c r="H36" s="6">
        <f t="shared" si="10"/>
        <v>292.51676410333283</v>
      </c>
      <c r="I36" s="4">
        <v>2619437</v>
      </c>
      <c r="J36" s="4"/>
      <c r="K36" s="6">
        <v>288.83</v>
      </c>
      <c r="L36" s="19">
        <f t="shared" si="11"/>
        <v>1.2348840609642453</v>
      </c>
      <c r="M36" s="19">
        <f t="shared" si="12"/>
        <v>1.2764477731997537E-2</v>
      </c>
      <c r="P36" s="6"/>
    </row>
    <row r="37" spans="1:16" x14ac:dyDescent="0.25">
      <c r="A37" s="18" t="s">
        <v>20</v>
      </c>
      <c r="B37" s="64">
        <f>SUM(B26:B36)</f>
        <v>34145690.230000004</v>
      </c>
      <c r="C37" s="64">
        <f>SUM(C26:C36)</f>
        <v>2519901</v>
      </c>
      <c r="D37" s="8">
        <f>SUM(D26:D36)</f>
        <v>126485.82</v>
      </c>
      <c r="E37" s="8">
        <f>SUM(E26:E36)</f>
        <v>12341.86</v>
      </c>
      <c r="F37" s="9">
        <f>IF(D37=0,0,B37/D37)</f>
        <v>269.95666573533697</v>
      </c>
      <c r="G37" s="9">
        <f>IF(E37=0,0,C37/E37)</f>
        <v>204.17514053797402</v>
      </c>
      <c r="H37" s="9">
        <f>IF(D37+E37=0,0,(B37+C37)/(D37+E37))</f>
        <v>264.10865059475174</v>
      </c>
      <c r="I37" s="8">
        <f>SUM(I26:I36)</f>
        <v>30576124</v>
      </c>
      <c r="J37" s="8">
        <f>SUM(J26:J36)</f>
        <v>3305439</v>
      </c>
      <c r="K37" s="9">
        <v>250.97</v>
      </c>
      <c r="L37" s="32">
        <f t="shared" si="11"/>
        <v>0.11674358169138783</v>
      </c>
      <c r="M37" s="32">
        <f t="shared" si="12"/>
        <v>5.2351478641876469E-2</v>
      </c>
      <c r="P37" s="6"/>
    </row>
    <row r="38" spans="1:16" x14ac:dyDescent="0.25">
      <c r="A38" s="14" t="s">
        <v>23</v>
      </c>
      <c r="P38" s="6"/>
    </row>
    <row r="39" spans="1:16" x14ac:dyDescent="0.25">
      <c r="P39" s="6"/>
    </row>
    <row r="40" spans="1:16" ht="20.25" x14ac:dyDescent="0.3">
      <c r="A40" s="20" t="str">
        <f>"MÅLESTATISTIKK FOR MALERE - GJENNOMSNITT HELE ÅRET  "&amp;FORS!$A$14</f>
        <v>MÅLESTATISTIKK FOR MALERE - GJENNOMSNITT HELE ÅRET  2016</v>
      </c>
      <c r="P40" s="6"/>
    </row>
    <row r="41" spans="1:16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P41" s="9"/>
    </row>
    <row r="42" spans="1:16" x14ac:dyDescent="0.25">
      <c r="A42" s="15"/>
      <c r="B42" s="2" t="s">
        <v>4</v>
      </c>
      <c r="C42" s="3"/>
      <c r="D42" s="2" t="s">
        <v>5</v>
      </c>
      <c r="E42" s="3"/>
      <c r="F42" s="2" t="str">
        <f>"Fortjeneste hele  "&amp;FORS!$A$14-0</f>
        <v>Fortjeneste hele  2016</v>
      </c>
      <c r="G42" s="5"/>
      <c r="H42" s="3"/>
      <c r="I42" s="2" t="str">
        <f>" Hele året  "&amp;FORS!$A$14-1</f>
        <v xml:space="preserve"> Hele året  2015</v>
      </c>
      <c r="J42" s="5"/>
      <c r="K42" s="3"/>
      <c r="L42" s="47" t="s">
        <v>29</v>
      </c>
      <c r="M42" s="3"/>
    </row>
    <row r="43" spans="1:16" x14ac:dyDescent="0.25">
      <c r="A43" s="48"/>
      <c r="B43" s="49" t="s">
        <v>6</v>
      </c>
      <c r="C43" s="49" t="s">
        <v>6</v>
      </c>
      <c r="D43" s="49" t="s">
        <v>6</v>
      </c>
      <c r="E43" s="49" t="s">
        <v>6</v>
      </c>
      <c r="F43" s="49" t="s">
        <v>6</v>
      </c>
      <c r="G43" s="49" t="s">
        <v>6</v>
      </c>
      <c r="H43" s="50" t="s">
        <v>33</v>
      </c>
      <c r="I43" s="49" t="s">
        <v>6</v>
      </c>
      <c r="J43" s="49" t="s">
        <v>6</v>
      </c>
      <c r="K43" s="50" t="s">
        <v>31</v>
      </c>
      <c r="L43" s="49" t="s">
        <v>6</v>
      </c>
      <c r="M43" s="50" t="s">
        <v>31</v>
      </c>
    </row>
    <row r="44" spans="1:16" x14ac:dyDescent="0.25">
      <c r="A44" s="52"/>
      <c r="B44" s="53" t="s">
        <v>30</v>
      </c>
      <c r="C44" s="53" t="s">
        <v>32</v>
      </c>
      <c r="D44" s="53" t="s">
        <v>30</v>
      </c>
      <c r="E44" s="53" t="s">
        <v>32</v>
      </c>
      <c r="F44" s="53" t="s">
        <v>30</v>
      </c>
      <c r="G44" s="53" t="s">
        <v>32</v>
      </c>
      <c r="H44" s="54" t="s">
        <v>34</v>
      </c>
      <c r="I44" s="53" t="s">
        <v>30</v>
      </c>
      <c r="J44" s="53" t="s">
        <v>32</v>
      </c>
      <c r="K44" s="54" t="s">
        <v>28</v>
      </c>
      <c r="L44" s="53" t="s">
        <v>30</v>
      </c>
      <c r="M44" s="54" t="s">
        <v>28</v>
      </c>
    </row>
    <row r="45" spans="1:16" x14ac:dyDescent="0.25">
      <c r="A45" s="17" t="s">
        <v>25</v>
      </c>
      <c r="B45" s="4"/>
      <c r="C45" s="4"/>
      <c r="D45" s="4"/>
      <c r="E45" s="4"/>
      <c r="F45" s="6">
        <f>IF(D45=0,0,B45/D45)</f>
        <v>0</v>
      </c>
      <c r="G45" s="6">
        <f>IF(E45=0,0,C45/E45)</f>
        <v>0</v>
      </c>
      <c r="H45" s="6">
        <f>IF(D45+E45=0,0,(B45+C45)/(D45+E45))</f>
        <v>0</v>
      </c>
      <c r="I45" s="4">
        <f>I7+I26</f>
        <v>0</v>
      </c>
      <c r="J45" s="4">
        <f>J7+J26</f>
        <v>0</v>
      </c>
      <c r="K45" s="6">
        <v>0</v>
      </c>
      <c r="L45" s="19">
        <f>IF(I45=0,0,(B45-I45)/I45)</f>
        <v>0</v>
      </c>
      <c r="M45" s="19">
        <f>IF(K45=0,0,(H45-K45)/K45)</f>
        <v>0</v>
      </c>
      <c r="P45" s="4"/>
    </row>
    <row r="46" spans="1:16" x14ac:dyDescent="0.25">
      <c r="A46" s="17" t="s">
        <v>7</v>
      </c>
      <c r="B46" s="65">
        <f>B8+B27</f>
        <v>5448378.9299999997</v>
      </c>
      <c r="C46" s="4"/>
      <c r="D46" s="4">
        <f>D8+D27</f>
        <v>23679.27</v>
      </c>
      <c r="E46" s="4"/>
      <c r="F46" s="6">
        <f t="shared" ref="F46:F54" si="13">IF(D46=0,0,B46/D46)</f>
        <v>230.09066284560291</v>
      </c>
      <c r="G46" s="6">
        <f t="shared" ref="G46:G55" si="14">IF(E46=0,0,C46/E46)</f>
        <v>0</v>
      </c>
      <c r="H46" s="6">
        <f t="shared" ref="H46:H55" si="15">IF(D46+E46=0,0,(B46+C46)/(D46+E46))</f>
        <v>230.09066284560291</v>
      </c>
      <c r="I46" s="4">
        <f t="shared" ref="I46:J56" si="16">I8+I27</f>
        <v>5018737</v>
      </c>
      <c r="J46" s="4">
        <f t="shared" si="16"/>
        <v>0</v>
      </c>
      <c r="K46" s="39">
        <v>229</v>
      </c>
      <c r="L46" s="19">
        <f t="shared" ref="L46:L56" si="17">IF(I46=0,0,(B46-I46)/I46)</f>
        <v>8.560758015413035E-2</v>
      </c>
      <c r="M46" s="19">
        <f t="shared" ref="M46:M56" si="18">IF(K46=0,0,(H46-K46)/K46)</f>
        <v>4.7627198497943533E-3</v>
      </c>
      <c r="P46" s="4"/>
    </row>
    <row r="47" spans="1:16" x14ac:dyDescent="0.25">
      <c r="A47" s="17"/>
      <c r="B47" s="4"/>
      <c r="C47" s="4"/>
      <c r="D47" s="4"/>
      <c r="E47" s="4"/>
      <c r="F47" s="6">
        <f t="shared" si="13"/>
        <v>0</v>
      </c>
      <c r="G47" s="6">
        <f t="shared" si="14"/>
        <v>0</v>
      </c>
      <c r="H47" s="6">
        <f t="shared" si="15"/>
        <v>0</v>
      </c>
      <c r="I47" s="4">
        <f t="shared" si="16"/>
        <v>0</v>
      </c>
      <c r="J47" s="4">
        <f t="shared" si="16"/>
        <v>0</v>
      </c>
      <c r="K47" s="39">
        <v>0</v>
      </c>
      <c r="L47" s="19">
        <f t="shared" si="17"/>
        <v>0</v>
      </c>
      <c r="M47" s="19">
        <f t="shared" si="18"/>
        <v>0</v>
      </c>
      <c r="P47" s="4"/>
    </row>
    <row r="48" spans="1:16" x14ac:dyDescent="0.25">
      <c r="A48" s="17" t="s">
        <v>10</v>
      </c>
      <c r="B48" s="65">
        <f>B10+B29</f>
        <v>2727442</v>
      </c>
      <c r="C48" s="65">
        <f>C10+C29</f>
        <v>268998</v>
      </c>
      <c r="D48" s="4">
        <f>D10+D29</f>
        <v>10414</v>
      </c>
      <c r="E48" s="4">
        <f>E10+E29</f>
        <v>1647</v>
      </c>
      <c r="F48" s="6">
        <f t="shared" si="13"/>
        <v>261.90147877856731</v>
      </c>
      <c r="G48" s="6">
        <f t="shared" si="14"/>
        <v>163.32604735883424</v>
      </c>
      <c r="H48" s="6">
        <f t="shared" si="15"/>
        <v>248.44042782522178</v>
      </c>
      <c r="I48" s="4">
        <f t="shared" si="16"/>
        <v>3515488</v>
      </c>
      <c r="J48" s="4">
        <f t="shared" si="16"/>
        <v>584605</v>
      </c>
      <c r="K48" s="39">
        <v>227</v>
      </c>
      <c r="L48" s="19">
        <f t="shared" si="17"/>
        <v>-0.22416404209031576</v>
      </c>
      <c r="M48" s="19">
        <f t="shared" si="18"/>
        <v>9.4451223899655393E-2</v>
      </c>
      <c r="P48" s="4"/>
    </row>
    <row r="49" spans="1:16" x14ac:dyDescent="0.25">
      <c r="A49" s="17" t="s">
        <v>11</v>
      </c>
      <c r="B49" s="4"/>
      <c r="C49" s="4"/>
      <c r="D49" s="4"/>
      <c r="E49" s="4"/>
      <c r="F49" s="6">
        <f t="shared" si="13"/>
        <v>0</v>
      </c>
      <c r="G49" s="6">
        <f t="shared" si="14"/>
        <v>0</v>
      </c>
      <c r="H49" s="6">
        <f t="shared" si="15"/>
        <v>0</v>
      </c>
      <c r="I49" s="4">
        <f t="shared" si="16"/>
        <v>0</v>
      </c>
      <c r="J49" s="4">
        <f t="shared" si="16"/>
        <v>0</v>
      </c>
      <c r="K49" s="39">
        <v>0</v>
      </c>
      <c r="L49" s="19">
        <f t="shared" si="17"/>
        <v>0</v>
      </c>
      <c r="M49" s="19">
        <f t="shared" si="18"/>
        <v>0</v>
      </c>
      <c r="P49" s="4"/>
    </row>
    <row r="50" spans="1:16" x14ac:dyDescent="0.25">
      <c r="A50" s="17" t="s">
        <v>12</v>
      </c>
      <c r="B50" s="4"/>
      <c r="C50" s="4"/>
      <c r="D50" s="4"/>
      <c r="E50" s="4"/>
      <c r="F50" s="6">
        <f t="shared" si="13"/>
        <v>0</v>
      </c>
      <c r="G50" s="6">
        <f t="shared" si="14"/>
        <v>0</v>
      </c>
      <c r="H50" s="6">
        <f t="shared" si="15"/>
        <v>0</v>
      </c>
      <c r="I50" s="4">
        <f t="shared" si="16"/>
        <v>0</v>
      </c>
      <c r="J50" s="4">
        <f t="shared" si="16"/>
        <v>0</v>
      </c>
      <c r="K50" s="39">
        <v>0</v>
      </c>
      <c r="L50" s="19">
        <f t="shared" si="17"/>
        <v>0</v>
      </c>
      <c r="M50" s="19">
        <f t="shared" si="18"/>
        <v>0</v>
      </c>
      <c r="P50" s="4"/>
    </row>
    <row r="51" spans="1:16" x14ac:dyDescent="0.25">
      <c r="A51" s="17" t="s">
        <v>14</v>
      </c>
      <c r="B51" s="65">
        <f>B13+B32</f>
        <v>552699.4</v>
      </c>
      <c r="C51" s="4"/>
      <c r="D51" s="65">
        <f>D13+D32</f>
        <v>1755</v>
      </c>
      <c r="E51" s="4"/>
      <c r="F51" s="6">
        <f t="shared" si="13"/>
        <v>314.92843304843308</v>
      </c>
      <c r="G51" s="6">
        <f t="shared" si="14"/>
        <v>0</v>
      </c>
      <c r="H51" s="6">
        <f t="shared" si="15"/>
        <v>314.92843304843308</v>
      </c>
      <c r="I51" s="4">
        <f t="shared" si="16"/>
        <v>449727</v>
      </c>
      <c r="J51" s="4">
        <f t="shared" si="16"/>
        <v>0</v>
      </c>
      <c r="K51" s="39">
        <v>295</v>
      </c>
      <c r="L51" s="19">
        <f t="shared" si="17"/>
        <v>0.22896646187576022</v>
      </c>
      <c r="M51" s="19">
        <f t="shared" si="18"/>
        <v>6.7554010333671449E-2</v>
      </c>
      <c r="P51" s="4"/>
    </row>
    <row r="52" spans="1:16" x14ac:dyDescent="0.25">
      <c r="A52" s="17"/>
      <c r="B52" s="4"/>
      <c r="C52" s="4"/>
      <c r="D52" s="4"/>
      <c r="E52" s="4"/>
      <c r="F52" s="6">
        <f t="shared" si="13"/>
        <v>0</v>
      </c>
      <c r="G52" s="6">
        <f t="shared" si="14"/>
        <v>0</v>
      </c>
      <c r="H52" s="6">
        <f t="shared" si="15"/>
        <v>0</v>
      </c>
      <c r="I52" s="4">
        <f t="shared" si="16"/>
        <v>0</v>
      </c>
      <c r="J52" s="4">
        <f t="shared" si="16"/>
        <v>0</v>
      </c>
      <c r="K52" s="39">
        <v>0</v>
      </c>
      <c r="L52" s="19">
        <f t="shared" si="17"/>
        <v>0</v>
      </c>
      <c r="M52" s="19">
        <f t="shared" si="18"/>
        <v>0</v>
      </c>
      <c r="P52" s="4"/>
    </row>
    <row r="53" spans="1:16" x14ac:dyDescent="0.25">
      <c r="A53" s="17" t="s">
        <v>16</v>
      </c>
      <c r="B53" s="65">
        <f>B15+B34</f>
        <v>39390730</v>
      </c>
      <c r="C53" s="65">
        <f>C15+C34</f>
        <v>3968504</v>
      </c>
      <c r="D53" s="4">
        <f>D15+D34</f>
        <v>147810.79</v>
      </c>
      <c r="E53" s="4">
        <f>E15+E34</f>
        <v>19807.010000000002</v>
      </c>
      <c r="F53" s="6">
        <f t="shared" si="13"/>
        <v>266.49427961246943</v>
      </c>
      <c r="G53" s="6">
        <f t="shared" si="14"/>
        <v>200.35855992398649</v>
      </c>
      <c r="H53" s="6">
        <f t="shared" si="15"/>
        <v>258.67917369157686</v>
      </c>
      <c r="I53" s="4">
        <f t="shared" si="16"/>
        <v>36424087</v>
      </c>
      <c r="J53" s="4">
        <f t="shared" si="16"/>
        <v>3608558</v>
      </c>
      <c r="K53" s="39">
        <v>253</v>
      </c>
      <c r="L53" s="19">
        <f t="shared" si="17"/>
        <v>8.1447285144031198E-2</v>
      </c>
      <c r="M53" s="19">
        <f t="shared" si="18"/>
        <v>2.2447326844177329E-2</v>
      </c>
      <c r="P53" s="4"/>
    </row>
    <row r="54" spans="1:16" x14ac:dyDescent="0.25">
      <c r="A54" s="17" t="s">
        <v>17</v>
      </c>
      <c r="B54" s="65">
        <f>B16+B35</f>
        <v>734031</v>
      </c>
      <c r="C54" s="4"/>
      <c r="D54" s="4">
        <f>D16+D35</f>
        <v>2210</v>
      </c>
      <c r="E54" s="4"/>
      <c r="F54" s="6">
        <f t="shared" si="13"/>
        <v>332.14072398190046</v>
      </c>
      <c r="G54" s="6">
        <f t="shared" si="14"/>
        <v>0</v>
      </c>
      <c r="H54" s="6">
        <f t="shared" si="15"/>
        <v>332.14072398190046</v>
      </c>
      <c r="I54" s="4">
        <f t="shared" si="16"/>
        <v>552798</v>
      </c>
      <c r="J54" s="4">
        <f t="shared" si="16"/>
        <v>0</v>
      </c>
      <c r="K54" s="39">
        <v>334</v>
      </c>
      <c r="L54" s="19">
        <f t="shared" si="17"/>
        <v>0.32784669987952197</v>
      </c>
      <c r="M54" s="19">
        <f t="shared" si="18"/>
        <v>-5.5666946649686692E-3</v>
      </c>
      <c r="P54" s="4"/>
    </row>
    <row r="55" spans="1:16" x14ac:dyDescent="0.25">
      <c r="A55" s="17" t="s">
        <v>19</v>
      </c>
      <c r="B55" s="65">
        <f>B17+B36</f>
        <v>8546624.0899999999</v>
      </c>
      <c r="C55" s="4"/>
      <c r="D55" s="4">
        <f>D17+D36</f>
        <v>29379.5</v>
      </c>
      <c r="E55" s="4"/>
      <c r="F55" s="6">
        <f>IF(D55=0,0,B55/D55)</f>
        <v>290.90434112221106</v>
      </c>
      <c r="G55" s="6">
        <f t="shared" si="14"/>
        <v>0</v>
      </c>
      <c r="H55" s="6">
        <f t="shared" si="15"/>
        <v>290.90434112221106</v>
      </c>
      <c r="I55" s="4">
        <f t="shared" si="16"/>
        <v>4811863</v>
      </c>
      <c r="J55" s="4">
        <f t="shared" si="16"/>
        <v>0</v>
      </c>
      <c r="K55" s="39">
        <v>279</v>
      </c>
      <c r="L55" s="19">
        <f t="shared" si="17"/>
        <v>0.77615698742877759</v>
      </c>
      <c r="M55" s="19">
        <f t="shared" si="18"/>
        <v>4.2667889326921379E-2</v>
      </c>
      <c r="P55" s="4"/>
    </row>
    <row r="56" spans="1:16" x14ac:dyDescent="0.25">
      <c r="A56" s="18" t="s">
        <v>20</v>
      </c>
      <c r="B56" s="64">
        <f>SUM(B45:B55)</f>
        <v>57399905.420000002</v>
      </c>
      <c r="C56" s="64">
        <f>SUM(C45:C55)</f>
        <v>4237502</v>
      </c>
      <c r="D56" s="8">
        <f>SUM(D45:D55)</f>
        <v>215248.56</v>
      </c>
      <c r="E56" s="8">
        <f>SUM(E45:E55)</f>
        <v>21454.010000000002</v>
      </c>
      <c r="F56" s="9">
        <f>IF(D56=0,0,B56/D56)</f>
        <v>266.66801125173612</v>
      </c>
      <c r="G56" s="9">
        <f>IF(E56=0,0,C56/E56)</f>
        <v>197.51561596177123</v>
      </c>
      <c r="H56" s="9">
        <f>IF(D56+E56=0,0,(B56+C56)/(D56+E56))</f>
        <v>260.40024584439453</v>
      </c>
      <c r="I56" s="4">
        <f t="shared" si="16"/>
        <v>50772700</v>
      </c>
      <c r="J56" s="4">
        <f t="shared" si="16"/>
        <v>4193163</v>
      </c>
      <c r="K56" s="136">
        <v>251</v>
      </c>
      <c r="L56" s="32">
        <f t="shared" si="17"/>
        <v>0.13052694499209225</v>
      </c>
      <c r="M56" s="32">
        <f t="shared" si="18"/>
        <v>3.7451178662926424E-2</v>
      </c>
    </row>
    <row r="57" spans="1:16" x14ac:dyDescent="0.25">
      <c r="K57" s="137"/>
    </row>
    <row r="61" spans="1:16" x14ac:dyDescent="0.25">
      <c r="B61" s="3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Zeros="0" topLeftCell="A34" zoomScale="84" zoomScaleNormal="84" workbookViewId="0">
      <selection activeCell="O14" sqref="O14"/>
    </sheetView>
  </sheetViews>
  <sheetFormatPr baseColWidth="10" defaultColWidth="9" defaultRowHeight="15.75" x14ac:dyDescent="0.25"/>
  <cols>
    <col min="1" max="1" width="18.75" style="14" customWidth="1"/>
    <col min="2" max="2" width="13.75" customWidth="1"/>
    <col min="3" max="5" width="11.75" customWidth="1"/>
    <col min="6" max="8" width="9.25" customWidth="1"/>
    <col min="9" max="9" width="11.375" customWidth="1"/>
    <col min="10" max="10" width="13" bestFit="1" customWidth="1"/>
    <col min="11" max="11" width="9.25" customWidth="1"/>
    <col min="12" max="12" width="9" customWidth="1"/>
    <col min="13" max="13" width="9.25" customWidth="1"/>
  </cols>
  <sheetData>
    <row r="2" spans="1:13" ht="20.25" x14ac:dyDescent="0.3">
      <c r="A2" s="20" t="str">
        <f>"MÅLESTATISTIKK FOR RØRLEGGERE - 1. HALVÅR "&amp;FORS!$A$14</f>
        <v>MÅLESTATISTIKK FOR RØRLEGGERE - 1. HALVÅR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2016</v>
      </c>
      <c r="G4" s="5"/>
      <c r="H4" s="3"/>
      <c r="I4" s="2" t="str">
        <f>" 1. halvår  "&amp;FORS!$A$14-1</f>
        <v xml:space="preserve"> 1. halvår  2015</v>
      </c>
      <c r="J4" s="5"/>
      <c r="K4" s="3"/>
      <c r="L4" s="47" t="s">
        <v>29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7" t="s">
        <v>7</v>
      </c>
      <c r="B7" s="21"/>
      <c r="C7" s="21"/>
      <c r="D7" s="21"/>
      <c r="E7" s="21"/>
      <c r="F7" s="6">
        <f t="shared" ref="F7:G13" si="0">IF(D7=0,0,B7/D7)</f>
        <v>0</v>
      </c>
      <c r="G7" s="6">
        <f t="shared" si="0"/>
        <v>0</v>
      </c>
      <c r="H7" s="6">
        <f t="shared" ref="H7:H13" si="1">IF(D7+E7=0,0,(B7+C7)/(D7+E7))</f>
        <v>0</v>
      </c>
      <c r="I7" s="4"/>
      <c r="J7" s="4"/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11</v>
      </c>
      <c r="B8" s="21">
        <v>2541354</v>
      </c>
      <c r="C8" s="21">
        <v>1693791</v>
      </c>
      <c r="D8" s="21">
        <v>10750</v>
      </c>
      <c r="E8" s="21">
        <v>8251</v>
      </c>
      <c r="F8" s="6">
        <f t="shared" si="0"/>
        <v>236.40502325581394</v>
      </c>
      <c r="G8" s="6">
        <f t="shared" si="0"/>
        <v>205.2831171979154</v>
      </c>
      <c r="H8" s="6">
        <f t="shared" si="1"/>
        <v>222.89063733487711</v>
      </c>
      <c r="I8" s="4"/>
      <c r="J8" s="4"/>
      <c r="K8" s="6">
        <v>0</v>
      </c>
      <c r="L8" s="19">
        <f t="shared" ref="L8:L12" si="2">IF(I8=0,0,(B8-I8)/I8)</f>
        <v>0</v>
      </c>
      <c r="M8" s="19">
        <f t="shared" ref="M8:M13" si="3">IF(K8=0,0,(H8-K8)/K8)</f>
        <v>0</v>
      </c>
    </row>
    <row r="9" spans="1:13" x14ac:dyDescent="0.25">
      <c r="A9" s="17" t="s">
        <v>13</v>
      </c>
      <c r="B9" s="21"/>
      <c r="C9" s="21"/>
      <c r="D9" s="21"/>
      <c r="E9" s="21"/>
      <c r="F9" s="6">
        <f t="shared" si="0"/>
        <v>0</v>
      </c>
      <c r="G9" s="6">
        <f t="shared" si="0"/>
        <v>0</v>
      </c>
      <c r="H9" s="6">
        <f t="shared" si="1"/>
        <v>0</v>
      </c>
      <c r="I9" s="4"/>
      <c r="J9" s="4"/>
      <c r="K9" s="6">
        <v>0</v>
      </c>
      <c r="L9" s="19">
        <f t="shared" si="2"/>
        <v>0</v>
      </c>
      <c r="M9" s="19">
        <f t="shared" si="3"/>
        <v>0</v>
      </c>
    </row>
    <row r="10" spans="1:13" x14ac:dyDescent="0.25">
      <c r="A10" s="17" t="s">
        <v>15</v>
      </c>
      <c r="B10" s="21"/>
      <c r="C10" s="21"/>
      <c r="D10" s="21"/>
      <c r="E10" s="21"/>
      <c r="F10" s="6">
        <f t="shared" si="0"/>
        <v>0</v>
      </c>
      <c r="G10" s="6">
        <f t="shared" si="0"/>
        <v>0</v>
      </c>
      <c r="H10" s="6">
        <f t="shared" si="1"/>
        <v>0</v>
      </c>
      <c r="I10" s="4"/>
      <c r="J10" s="4"/>
      <c r="K10" s="6">
        <v>0</v>
      </c>
      <c r="L10" s="19">
        <f t="shared" si="2"/>
        <v>0</v>
      </c>
      <c r="M10" s="19">
        <f t="shared" si="3"/>
        <v>0</v>
      </c>
    </row>
    <row r="11" spans="1:13" x14ac:dyDescent="0.25">
      <c r="A11" s="17" t="s">
        <v>16</v>
      </c>
      <c r="B11" s="121">
        <v>6449409.5099999998</v>
      </c>
      <c r="C11" s="123">
        <v>1587715.82</v>
      </c>
      <c r="D11" s="122">
        <v>21112.14632</v>
      </c>
      <c r="E11" s="124">
        <v>9704.2942500000008</v>
      </c>
      <c r="F11" s="6">
        <f t="shared" si="0"/>
        <v>305.48336546390516</v>
      </c>
      <c r="G11" s="6">
        <f t="shared" si="0"/>
        <v>163.60961231158052</v>
      </c>
      <c r="H11" s="6">
        <f t="shared" si="1"/>
        <v>260.80641311392054</v>
      </c>
      <c r="I11" s="4">
        <v>12502745</v>
      </c>
      <c r="J11" s="4">
        <v>1684944</v>
      </c>
      <c r="K11" s="6">
        <v>246.93</v>
      </c>
      <c r="L11" s="19">
        <f t="shared" si="2"/>
        <v>-0.48416051755034595</v>
      </c>
      <c r="M11" s="19">
        <f t="shared" si="3"/>
        <v>5.6195736094927853E-2</v>
      </c>
    </row>
    <row r="12" spans="1:13" x14ac:dyDescent="0.25">
      <c r="A12" s="17" t="s">
        <v>19</v>
      </c>
      <c r="B12" s="85">
        <v>17445059</v>
      </c>
      <c r="C12" s="93">
        <v>949206</v>
      </c>
      <c r="D12" s="72">
        <v>66227.5</v>
      </c>
      <c r="E12" s="95">
        <v>5076.5</v>
      </c>
      <c r="F12" s="6">
        <f t="shared" si="0"/>
        <v>263.41110565852551</v>
      </c>
      <c r="G12" s="6">
        <f t="shared" si="0"/>
        <v>186.98039988180832</v>
      </c>
      <c r="H12" s="6">
        <f t="shared" si="1"/>
        <v>257.96960899809267</v>
      </c>
      <c r="I12" s="4"/>
      <c r="J12" s="4"/>
      <c r="K12" s="6"/>
      <c r="L12" s="19">
        <f t="shared" si="2"/>
        <v>0</v>
      </c>
      <c r="M12" s="19">
        <f t="shared" si="3"/>
        <v>0</v>
      </c>
    </row>
    <row r="13" spans="1:13" s="11" customFormat="1" x14ac:dyDescent="0.25">
      <c r="A13" s="18" t="s">
        <v>20</v>
      </c>
      <c r="B13" s="8">
        <f>SUM(B7:B12)</f>
        <v>26435822.509999998</v>
      </c>
      <c r="C13" s="8">
        <f>SUM(C7:C12)</f>
        <v>4230712.82</v>
      </c>
      <c r="D13" s="8">
        <f>SUM(D7:D12)</f>
        <v>98089.64632</v>
      </c>
      <c r="E13" s="8">
        <f>SUM(E7:E12)</f>
        <v>23031.794249999999</v>
      </c>
      <c r="F13" s="9">
        <f t="shared" si="0"/>
        <v>269.50675735701844</v>
      </c>
      <c r="G13" s="9">
        <f t="shared" si="0"/>
        <v>183.6901100312669</v>
      </c>
      <c r="H13" s="9">
        <f t="shared" si="1"/>
        <v>253.18833053572223</v>
      </c>
      <c r="I13" s="8">
        <f>SUM(I7:I12)</f>
        <v>12502745</v>
      </c>
      <c r="J13" s="8">
        <v>1684944</v>
      </c>
      <c r="K13" s="9">
        <v>246.93</v>
      </c>
      <c r="L13" s="32">
        <f>IF(I13=0,0,(B13-I13)/I13)</f>
        <v>1.1144014782353793</v>
      </c>
      <c r="M13" s="32">
        <f>IF(K13=0,0,(H13-K13)/K13)</f>
        <v>2.534455325688342E-2</v>
      </c>
    </row>
    <row r="14" spans="1:13" x14ac:dyDescent="0.25">
      <c r="J14" s="38"/>
    </row>
    <row r="16" spans="1:13" ht="20.25" x14ac:dyDescent="0.3">
      <c r="A16" s="20" t="str">
        <f>"MÅLESTATISTIKK FOR RØRLEGGERE - 2. HALVÅR "&amp;FORS!$A$14</f>
        <v>MÅLESTATISTIKK FOR RØRLEGGERE - 2. HALVÅR 2016</v>
      </c>
    </row>
    <row r="17" spans="1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5"/>
      <c r="B18" s="2" t="s">
        <v>4</v>
      </c>
      <c r="C18" s="3"/>
      <c r="D18" s="2" t="s">
        <v>5</v>
      </c>
      <c r="E18" s="3"/>
      <c r="F18" s="2" t="str">
        <f>"Fortjeneste 2. halvår  "&amp;FORS!$A$14-0</f>
        <v>Fortjeneste 2. halvår  2016</v>
      </c>
      <c r="G18" s="5"/>
      <c r="H18" s="3"/>
      <c r="I18" s="2" t="str">
        <f>" 2. halvår  "&amp;FORS!$A$14-1</f>
        <v xml:space="preserve"> 2. halvår  2015</v>
      </c>
      <c r="J18" s="5"/>
      <c r="K18" s="3"/>
      <c r="L18" s="47" t="s">
        <v>29</v>
      </c>
      <c r="M18" s="3"/>
    </row>
    <row r="19" spans="1:13" x14ac:dyDescent="0.25">
      <c r="A19" s="48"/>
      <c r="B19" s="49" t="s">
        <v>6</v>
      </c>
      <c r="C19" s="49" t="s">
        <v>6</v>
      </c>
      <c r="D19" s="49" t="s">
        <v>6</v>
      </c>
      <c r="E19" s="49" t="s">
        <v>6</v>
      </c>
      <c r="F19" s="49" t="s">
        <v>6</v>
      </c>
      <c r="G19" s="49" t="s">
        <v>6</v>
      </c>
      <c r="H19" s="50" t="s">
        <v>33</v>
      </c>
      <c r="I19" s="49" t="s">
        <v>6</v>
      </c>
      <c r="J19" s="49" t="s">
        <v>6</v>
      </c>
      <c r="K19" s="50" t="s">
        <v>31</v>
      </c>
      <c r="L19" s="49" t="s">
        <v>6</v>
      </c>
      <c r="M19" s="50" t="s">
        <v>31</v>
      </c>
    </row>
    <row r="20" spans="1:13" x14ac:dyDescent="0.25">
      <c r="A20" s="52"/>
      <c r="B20" s="53" t="s">
        <v>30</v>
      </c>
      <c r="C20" s="53" t="s">
        <v>32</v>
      </c>
      <c r="D20" s="53" t="s">
        <v>30</v>
      </c>
      <c r="E20" s="53" t="s">
        <v>32</v>
      </c>
      <c r="F20" s="53" t="s">
        <v>30</v>
      </c>
      <c r="G20" s="53" t="s">
        <v>32</v>
      </c>
      <c r="H20" s="54" t="s">
        <v>34</v>
      </c>
      <c r="I20" s="53" t="s">
        <v>30</v>
      </c>
      <c r="J20" s="53" t="s">
        <v>32</v>
      </c>
      <c r="K20" s="54" t="s">
        <v>28</v>
      </c>
      <c r="L20" s="53" t="s">
        <v>30</v>
      </c>
      <c r="M20" s="54" t="s">
        <v>28</v>
      </c>
    </row>
    <row r="21" spans="1:13" x14ac:dyDescent="0.25">
      <c r="A21" s="17" t="s">
        <v>7</v>
      </c>
      <c r="B21" s="21"/>
      <c r="C21" s="21"/>
      <c r="D21" s="21"/>
      <c r="E21" s="21"/>
      <c r="F21" s="6">
        <f t="shared" ref="F21:G27" si="4">IF(D21=0,0,B21/D21)</f>
        <v>0</v>
      </c>
      <c r="G21" s="6">
        <f t="shared" si="4"/>
        <v>0</v>
      </c>
      <c r="H21" s="6">
        <f t="shared" ref="H21:H27" si="5">IF(D21+E21=0,0,(B21+C21)/(D21+E21))</f>
        <v>0</v>
      </c>
      <c r="I21" s="4"/>
      <c r="J21" s="4"/>
      <c r="K21" s="6"/>
      <c r="L21" s="19">
        <f>IF(I21=0,0,(B21-I21)/I21)</f>
        <v>0</v>
      </c>
      <c r="M21" s="19">
        <f>IF(K21=0,0,(H21-K21)/K21)</f>
        <v>0</v>
      </c>
    </row>
    <row r="22" spans="1:13" x14ac:dyDescent="0.25">
      <c r="A22" s="17" t="s">
        <v>11</v>
      </c>
      <c r="B22" s="63">
        <v>845073</v>
      </c>
      <c r="C22" s="63"/>
      <c r="D22" s="21">
        <v>3016</v>
      </c>
      <c r="E22" s="21"/>
      <c r="F22" s="6">
        <f>IF(D22=0,0,B22/D22)</f>
        <v>280.19661803713529</v>
      </c>
      <c r="G22" s="6">
        <f>IF(E22=0,0,C22/E22)</f>
        <v>0</v>
      </c>
      <c r="H22" s="6">
        <f>IF(D22+E22=0,0,(B22+C22)/(D22+E22))</f>
        <v>280.19661803713529</v>
      </c>
      <c r="I22" s="4"/>
      <c r="J22" s="4"/>
      <c r="K22" s="6"/>
      <c r="L22" s="19">
        <f t="shared" ref="L22:L27" si="6">IF(I22=0,0,(B22-I22)/I22)</f>
        <v>0</v>
      </c>
      <c r="M22" s="19">
        <f t="shared" ref="M22:M27" si="7">IF(K22=0,0,(H22-K22)/K22)</f>
        <v>0</v>
      </c>
    </row>
    <row r="23" spans="1:13" x14ac:dyDescent="0.25">
      <c r="A23" s="17" t="s">
        <v>13</v>
      </c>
      <c r="B23" s="21"/>
      <c r="C23" s="21"/>
      <c r="D23" s="21"/>
      <c r="E23" s="21"/>
      <c r="F23" s="6">
        <f t="shared" si="4"/>
        <v>0</v>
      </c>
      <c r="G23" s="6">
        <f t="shared" si="4"/>
        <v>0</v>
      </c>
      <c r="H23" s="6">
        <f t="shared" si="5"/>
        <v>0</v>
      </c>
      <c r="I23" s="4"/>
      <c r="J23" s="4"/>
      <c r="K23" s="6">
        <v>0</v>
      </c>
      <c r="L23" s="19">
        <f t="shared" si="6"/>
        <v>0</v>
      </c>
      <c r="M23" s="19">
        <f t="shared" si="7"/>
        <v>0</v>
      </c>
    </row>
    <row r="24" spans="1:13" x14ac:dyDescent="0.25">
      <c r="A24" s="17" t="s">
        <v>15</v>
      </c>
      <c r="B24" s="21"/>
      <c r="C24" s="21"/>
      <c r="D24" s="21"/>
      <c r="E24" s="21"/>
      <c r="F24" s="6">
        <f t="shared" si="4"/>
        <v>0</v>
      </c>
      <c r="G24" s="6">
        <f t="shared" si="4"/>
        <v>0</v>
      </c>
      <c r="H24" s="6">
        <f t="shared" si="5"/>
        <v>0</v>
      </c>
      <c r="I24" s="4"/>
      <c r="J24" s="4"/>
      <c r="K24" s="6">
        <v>0</v>
      </c>
      <c r="L24" s="19">
        <f t="shared" si="6"/>
        <v>0</v>
      </c>
      <c r="M24" s="19">
        <f t="shared" si="7"/>
        <v>0</v>
      </c>
    </row>
    <row r="25" spans="1:13" x14ac:dyDescent="0.25">
      <c r="A25" s="17" t="s">
        <v>16</v>
      </c>
      <c r="B25" s="121">
        <v>17846326.469999999</v>
      </c>
      <c r="C25" s="125">
        <v>4299735.16</v>
      </c>
      <c r="D25" s="122">
        <v>61892.14</v>
      </c>
      <c r="E25" s="126">
        <v>23764.7</v>
      </c>
      <c r="F25" s="40">
        <f t="shared" si="4"/>
        <v>288.34560365823512</v>
      </c>
      <c r="G25" s="6">
        <f t="shared" si="4"/>
        <v>180.92949458650855</v>
      </c>
      <c r="H25" s="6">
        <f t="shared" si="5"/>
        <v>258.54399520225121</v>
      </c>
      <c r="I25" s="57">
        <v>13370611</v>
      </c>
      <c r="J25" s="4">
        <v>2437110</v>
      </c>
      <c r="K25" s="6">
        <v>234.93</v>
      </c>
      <c r="L25" s="19">
        <f t="shared" si="6"/>
        <v>0.3347427780226348</v>
      </c>
      <c r="M25" s="19">
        <f t="shared" si="7"/>
        <v>0.10051502661325162</v>
      </c>
    </row>
    <row r="26" spans="1:13" x14ac:dyDescent="0.25">
      <c r="A26" s="17" t="s">
        <v>19</v>
      </c>
      <c r="B26" s="85">
        <v>21060290</v>
      </c>
      <c r="C26" s="93">
        <v>4133316</v>
      </c>
      <c r="D26" s="85">
        <v>72867.5</v>
      </c>
      <c r="E26" s="94">
        <v>22998</v>
      </c>
      <c r="F26" s="40">
        <f t="shared" si="4"/>
        <v>289.02171750094351</v>
      </c>
      <c r="G26" s="6">
        <f t="shared" si="4"/>
        <v>179.72501956691886</v>
      </c>
      <c r="H26" s="6">
        <f t="shared" si="5"/>
        <v>262.80159181353042</v>
      </c>
      <c r="I26" s="57">
        <v>21881534</v>
      </c>
      <c r="J26" s="4">
        <v>4353473</v>
      </c>
      <c r="K26" s="6">
        <v>248.75</v>
      </c>
      <c r="L26" s="19">
        <f t="shared" si="6"/>
        <v>-3.7531372343456361E-2</v>
      </c>
      <c r="M26" s="19">
        <f t="shared" si="7"/>
        <v>5.6488811310675062E-2</v>
      </c>
    </row>
    <row r="27" spans="1:13" x14ac:dyDescent="0.25">
      <c r="A27" s="18" t="s">
        <v>20</v>
      </c>
      <c r="B27" s="8">
        <f>SUM(B21:B26)</f>
        <v>39751689.469999999</v>
      </c>
      <c r="C27" s="8">
        <f>SUM(C21:C26)</f>
        <v>8433051.1600000001</v>
      </c>
      <c r="D27" s="8">
        <f>SUM(D21:D26)</f>
        <v>137775.64000000001</v>
      </c>
      <c r="E27" s="8">
        <f>SUM(E21:E26)</f>
        <v>46762.7</v>
      </c>
      <c r="F27" s="9">
        <f t="shared" si="4"/>
        <v>288.52480358646852</v>
      </c>
      <c r="G27" s="9">
        <f t="shared" si="4"/>
        <v>180.33713108952222</v>
      </c>
      <c r="H27" s="9">
        <f t="shared" si="5"/>
        <v>261.109645995515</v>
      </c>
      <c r="I27" s="8">
        <f>SUM(I25:I26)</f>
        <v>35252145</v>
      </c>
      <c r="J27" s="8">
        <v>6790583</v>
      </c>
      <c r="K27" s="9">
        <v>243.37</v>
      </c>
      <c r="L27" s="10">
        <f t="shared" si="6"/>
        <v>0.12763888466928747</v>
      </c>
      <c r="M27" s="10">
        <f t="shared" si="7"/>
        <v>7.2891671099621941E-2</v>
      </c>
    </row>
    <row r="28" spans="1:13" x14ac:dyDescent="0.25">
      <c r="J28" s="38"/>
    </row>
    <row r="30" spans="1:13" ht="20.25" x14ac:dyDescent="0.3">
      <c r="A30" s="20" t="str">
        <f>"MÅLESTATISTIKK FOR RØRLEGGERE - GJENNOMSNITT HELE ÅRET  "&amp;FORS!$A$14</f>
        <v>MÅLESTATISTIKK FOR RØRLEGGERE - GJENNOMSNITT HELE ÅRET  2016</v>
      </c>
    </row>
    <row r="31" spans="1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5"/>
      <c r="B32" s="2" t="s">
        <v>4</v>
      </c>
      <c r="C32" s="3"/>
      <c r="D32" s="2" t="s">
        <v>5</v>
      </c>
      <c r="E32" s="3"/>
      <c r="F32" s="2" t="str">
        <f>"Fortjeneste hele  "&amp;FORS!$A$14-0</f>
        <v>Fortjeneste hele  2016</v>
      </c>
      <c r="G32" s="5"/>
      <c r="H32" s="3"/>
      <c r="I32" s="2" t="str">
        <f>" Hele året  "&amp;FORS!$A$14-1</f>
        <v xml:space="preserve"> Hele året  2015</v>
      </c>
      <c r="J32" s="5"/>
      <c r="K32" s="3"/>
      <c r="L32" s="47" t="s">
        <v>29</v>
      </c>
      <c r="M32" s="3"/>
    </row>
    <row r="33" spans="1:13" x14ac:dyDescent="0.25">
      <c r="A33" s="48"/>
      <c r="B33" s="49" t="s">
        <v>6</v>
      </c>
      <c r="C33" s="49" t="s">
        <v>6</v>
      </c>
      <c r="D33" s="49" t="s">
        <v>6</v>
      </c>
      <c r="E33" s="49" t="s">
        <v>6</v>
      </c>
      <c r="F33" s="49" t="s">
        <v>6</v>
      </c>
      <c r="G33" s="49" t="s">
        <v>6</v>
      </c>
      <c r="H33" s="50" t="s">
        <v>33</v>
      </c>
      <c r="I33" s="49" t="s">
        <v>6</v>
      </c>
      <c r="J33" s="49" t="s">
        <v>6</v>
      </c>
      <c r="K33" s="50" t="s">
        <v>31</v>
      </c>
      <c r="L33" s="49" t="s">
        <v>6</v>
      </c>
      <c r="M33" s="50" t="s">
        <v>31</v>
      </c>
    </row>
    <row r="34" spans="1:13" x14ac:dyDescent="0.25">
      <c r="A34" s="52"/>
      <c r="B34" s="53" t="s">
        <v>30</v>
      </c>
      <c r="C34" s="53" t="s">
        <v>32</v>
      </c>
      <c r="D34" s="53" t="s">
        <v>30</v>
      </c>
      <c r="E34" s="53" t="s">
        <v>32</v>
      </c>
      <c r="F34" s="53" t="s">
        <v>30</v>
      </c>
      <c r="G34" s="53" t="s">
        <v>32</v>
      </c>
      <c r="H34" s="54" t="s">
        <v>34</v>
      </c>
      <c r="I34" s="53" t="s">
        <v>30</v>
      </c>
      <c r="J34" s="53" t="s">
        <v>32</v>
      </c>
      <c r="K34" s="54" t="s">
        <v>28</v>
      </c>
      <c r="L34" s="53" t="s">
        <v>30</v>
      </c>
      <c r="M34" s="54" t="s">
        <v>28</v>
      </c>
    </row>
    <row r="35" spans="1:13" x14ac:dyDescent="0.25">
      <c r="A35" s="17" t="s">
        <v>7</v>
      </c>
      <c r="B35" s="4"/>
      <c r="C35" s="4"/>
      <c r="D35" s="4"/>
      <c r="E35" s="4"/>
      <c r="F35" s="6">
        <f t="shared" ref="F35:G41" si="8">IF(D35=0,0,B35/D35)</f>
        <v>0</v>
      </c>
      <c r="G35" s="6">
        <f t="shared" si="8"/>
        <v>0</v>
      </c>
      <c r="H35" s="6">
        <f t="shared" ref="H35:H41" si="9">IF(D35+E35=0,0,(B35+C35)/(D35+E35))</f>
        <v>0</v>
      </c>
      <c r="I35" s="55">
        <f>I7+I21</f>
        <v>0</v>
      </c>
      <c r="J35" s="55">
        <f>J7+J21</f>
        <v>0</v>
      </c>
      <c r="K35" s="6"/>
      <c r="L35" s="19">
        <f>IF(I35=0,0,(B35-I35)/I35)</f>
        <v>0</v>
      </c>
      <c r="M35" s="19">
        <f>IF(K35=0,0,(H35-K35)/K35)</f>
        <v>0</v>
      </c>
    </row>
    <row r="36" spans="1:13" x14ac:dyDescent="0.25">
      <c r="A36" s="17" t="s">
        <v>11</v>
      </c>
      <c r="B36" s="4">
        <f>B8+B22</f>
        <v>3386427</v>
      </c>
      <c r="C36" s="4">
        <f>C8+C22</f>
        <v>1693791</v>
      </c>
      <c r="D36" s="4">
        <f>D8+D22</f>
        <v>13766</v>
      </c>
      <c r="E36" s="4">
        <f>E8+E22</f>
        <v>8251</v>
      </c>
      <c r="F36" s="6">
        <f>IF(D36=0,0,B36/D36)</f>
        <v>245.9993462153131</v>
      </c>
      <c r="G36" s="6">
        <f>IF(E36=0,0,C36/E36)</f>
        <v>205.2831171979154</v>
      </c>
      <c r="H36" s="6">
        <f>IF(D36+E36=0,0,(B36+C36)/(D36+E36))</f>
        <v>230.74070036789755</v>
      </c>
      <c r="I36" s="55">
        <f t="shared" ref="I36:J41" si="10">I8+I22</f>
        <v>0</v>
      </c>
      <c r="J36" s="55">
        <f t="shared" si="10"/>
        <v>0</v>
      </c>
      <c r="K36" s="6"/>
      <c r="L36" s="19">
        <f t="shared" ref="L36:L41" si="11">IF(I36=0,0,(B36-I36)/I36)</f>
        <v>0</v>
      </c>
      <c r="M36" s="19">
        <f t="shared" ref="M36:M41" si="12">IF(K36=0,0,(H36-K36)/K36)</f>
        <v>0</v>
      </c>
    </row>
    <row r="37" spans="1:13" x14ac:dyDescent="0.25">
      <c r="A37" s="17" t="s">
        <v>13</v>
      </c>
      <c r="B37" s="4"/>
      <c r="C37" s="4"/>
      <c r="D37" s="4"/>
      <c r="E37" s="4"/>
      <c r="F37" s="6">
        <f t="shared" si="8"/>
        <v>0</v>
      </c>
      <c r="G37" s="6">
        <f t="shared" si="8"/>
        <v>0</v>
      </c>
      <c r="H37" s="6">
        <f t="shared" si="9"/>
        <v>0</v>
      </c>
      <c r="I37" s="55">
        <f t="shared" si="10"/>
        <v>0</v>
      </c>
      <c r="J37" s="55">
        <f t="shared" si="10"/>
        <v>0</v>
      </c>
      <c r="K37" s="6">
        <v>0</v>
      </c>
      <c r="L37" s="19">
        <f t="shared" si="11"/>
        <v>0</v>
      </c>
      <c r="M37" s="19">
        <f t="shared" si="12"/>
        <v>0</v>
      </c>
    </row>
    <row r="38" spans="1:13" x14ac:dyDescent="0.25">
      <c r="A38" s="17" t="s">
        <v>15</v>
      </c>
      <c r="B38" s="4"/>
      <c r="C38" s="4"/>
      <c r="D38" s="4"/>
      <c r="E38" s="4"/>
      <c r="F38" s="6">
        <f t="shared" si="8"/>
        <v>0</v>
      </c>
      <c r="G38" s="6">
        <f t="shared" si="8"/>
        <v>0</v>
      </c>
      <c r="H38" s="6">
        <f t="shared" si="9"/>
        <v>0</v>
      </c>
      <c r="I38" s="55">
        <f t="shared" si="10"/>
        <v>0</v>
      </c>
      <c r="J38" s="55">
        <f t="shared" si="10"/>
        <v>0</v>
      </c>
      <c r="K38" s="6">
        <v>0</v>
      </c>
      <c r="L38" s="19">
        <f t="shared" si="11"/>
        <v>0</v>
      </c>
      <c r="M38" s="19">
        <f t="shared" si="12"/>
        <v>0</v>
      </c>
    </row>
    <row r="39" spans="1:13" x14ac:dyDescent="0.25">
      <c r="A39" s="17" t="s">
        <v>16</v>
      </c>
      <c r="B39" s="4">
        <f t="shared" ref="B39:E40" si="13">B11+B25</f>
        <v>24295735.979999997</v>
      </c>
      <c r="C39" s="4">
        <f t="shared" si="13"/>
        <v>5887450.9800000004</v>
      </c>
      <c r="D39" s="4">
        <f t="shared" si="13"/>
        <v>83004.286319999999</v>
      </c>
      <c r="E39" s="4">
        <f t="shared" si="13"/>
        <v>33468.994250000003</v>
      </c>
      <c r="F39" s="6">
        <f t="shared" si="8"/>
        <v>292.70459463183056</v>
      </c>
      <c r="G39" s="6">
        <f t="shared" si="8"/>
        <v>175.90761574796949</v>
      </c>
      <c r="H39" s="6">
        <f t="shared" si="9"/>
        <v>259.1425845677972</v>
      </c>
      <c r="I39" s="55">
        <f t="shared" si="10"/>
        <v>25873356</v>
      </c>
      <c r="J39" s="55">
        <f t="shared" si="10"/>
        <v>4122054</v>
      </c>
      <c r="K39" s="6">
        <v>240.46</v>
      </c>
      <c r="L39" s="19">
        <f t="shared" si="11"/>
        <v>-6.09746961314181E-2</v>
      </c>
      <c r="M39" s="19">
        <f t="shared" si="12"/>
        <v>7.769518659152122E-2</v>
      </c>
    </row>
    <row r="40" spans="1:13" x14ac:dyDescent="0.25">
      <c r="A40" s="17" t="s">
        <v>19</v>
      </c>
      <c r="B40" s="4">
        <f t="shared" si="13"/>
        <v>38505349</v>
      </c>
      <c r="C40" s="4">
        <f t="shared" si="13"/>
        <v>5082522</v>
      </c>
      <c r="D40" s="4">
        <f t="shared" si="13"/>
        <v>139095</v>
      </c>
      <c r="E40" s="4">
        <f t="shared" si="13"/>
        <v>28074.5</v>
      </c>
      <c r="F40" s="6">
        <f t="shared" si="8"/>
        <v>276.82770049246915</v>
      </c>
      <c r="G40" s="6">
        <f t="shared" si="8"/>
        <v>181.03695524408272</v>
      </c>
      <c r="H40" s="6">
        <f t="shared" si="9"/>
        <v>260.74057169519557</v>
      </c>
      <c r="I40" s="55">
        <f t="shared" si="10"/>
        <v>21881534</v>
      </c>
      <c r="J40" s="55">
        <f t="shared" si="10"/>
        <v>4353473</v>
      </c>
      <c r="K40" s="6">
        <v>248.75</v>
      </c>
      <c r="L40" s="19">
        <f t="shared" si="11"/>
        <v>0.75971890270581577</v>
      </c>
      <c r="M40" s="19">
        <f t="shared" si="12"/>
        <v>4.8203303297268622E-2</v>
      </c>
    </row>
    <row r="41" spans="1:13" x14ac:dyDescent="0.25">
      <c r="A41" s="18" t="s">
        <v>20</v>
      </c>
      <c r="B41" s="8">
        <f>SUM(B35:B40)</f>
        <v>66187511.979999997</v>
      </c>
      <c r="C41" s="8">
        <f>SUM(C35:C40)</f>
        <v>12663763.98</v>
      </c>
      <c r="D41" s="8">
        <f>SUM(D35:D40)</f>
        <v>235865.28632000001</v>
      </c>
      <c r="E41" s="8">
        <f>SUM(E35:E40)</f>
        <v>69794.494250000003</v>
      </c>
      <c r="F41" s="9">
        <f t="shared" si="8"/>
        <v>280.61574050453083</v>
      </c>
      <c r="G41" s="9">
        <f t="shared" si="8"/>
        <v>181.44359545953728</v>
      </c>
      <c r="H41" s="9">
        <f t="shared" si="9"/>
        <v>257.9707274962924</v>
      </c>
      <c r="I41" s="55">
        <f t="shared" si="10"/>
        <v>47754890</v>
      </c>
      <c r="J41" s="55">
        <f t="shared" si="10"/>
        <v>8475527</v>
      </c>
      <c r="K41" s="31">
        <v>244.25</v>
      </c>
      <c r="L41" s="10">
        <f t="shared" si="11"/>
        <v>0.38598396897155446</v>
      </c>
      <c r="M41" s="10">
        <f t="shared" si="12"/>
        <v>5.6174933454625986E-2</v>
      </c>
    </row>
  </sheetData>
  <phoneticPr fontId="0" type="noConversion"/>
  <pageMargins left="0.59055118110236227" right="0.19685039370078741" top="0.98425196850393704" bottom="4.44000000000000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4" max="16383" man="1"/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3"/>
  <sheetViews>
    <sheetView showZeros="0" topLeftCell="A43" zoomScale="84" zoomScaleNormal="84" workbookViewId="0">
      <selection activeCell="E52" sqref="E52"/>
    </sheetView>
  </sheetViews>
  <sheetFormatPr baseColWidth="10" defaultColWidth="9" defaultRowHeight="15.75" x14ac:dyDescent="0.25"/>
  <cols>
    <col min="1" max="1" width="16.125" style="14" customWidth="1"/>
    <col min="2" max="2" width="15.375" customWidth="1"/>
    <col min="3" max="5" width="11.75" customWidth="1"/>
    <col min="6" max="6" width="10.25" customWidth="1"/>
    <col min="7" max="8" width="9.25" customWidth="1"/>
    <col min="9" max="9" width="10.875" customWidth="1"/>
    <col min="10" max="10" width="10.125" customWidth="1"/>
    <col min="11" max="13" width="9.25" customWidth="1"/>
  </cols>
  <sheetData>
    <row r="2" spans="1:13" ht="20.25" x14ac:dyDescent="0.3">
      <c r="A2" s="20" t="str">
        <f>"MÅLESTATISTIKK FOR TAKTEKKERE - 1. HALVÅR "&amp;FORS!$A$14</f>
        <v>MÅLESTATISTIKK FOR TAKTEKKERE - 1. HALVÅR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2016</v>
      </c>
      <c r="G4" s="5"/>
      <c r="H4" s="3"/>
      <c r="I4" s="2" t="str">
        <f>" 1. halvår  "&amp;FORS!$A$14-1</f>
        <v xml:space="preserve"> 1. halvår  2015</v>
      </c>
      <c r="J4" s="5"/>
      <c r="K4" s="3"/>
      <c r="L4" s="47" t="s">
        <v>29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7" t="s">
        <v>25</v>
      </c>
      <c r="B7" s="88">
        <v>10621</v>
      </c>
      <c r="C7" s="81">
        <v>77406</v>
      </c>
      <c r="D7" s="89">
        <v>35.5</v>
      </c>
      <c r="E7" s="118">
        <v>427</v>
      </c>
      <c r="F7" s="6">
        <f>IF(D7=0,0,B7/D7)</f>
        <v>299.18309859154931</v>
      </c>
      <c r="G7" s="6">
        <f>IF(E7=0,0,C7/E7)</f>
        <v>181.27868852459017</v>
      </c>
      <c r="H7" s="6">
        <f>IF(D7+E7=0,0,(B7+C7)/(D7+E7))</f>
        <v>190.32864864864865</v>
      </c>
      <c r="I7" s="21">
        <v>360266</v>
      </c>
      <c r="J7" s="21"/>
      <c r="K7" s="6">
        <v>321.08999999999997</v>
      </c>
      <c r="L7" s="19">
        <f>IF(I7=0,0,(B7-I7)/I7)</f>
        <v>-0.97051900540156444</v>
      </c>
      <c r="M7" s="19">
        <f>IF(K7=0,0,(H7-K7)/K7)</f>
        <v>-0.40724205472406905</v>
      </c>
    </row>
    <row r="8" spans="1:13" x14ac:dyDescent="0.25">
      <c r="A8" s="17" t="s">
        <v>9</v>
      </c>
      <c r="B8" s="70"/>
      <c r="C8" s="21"/>
      <c r="D8" s="21"/>
      <c r="E8" s="21"/>
      <c r="F8" s="6">
        <f t="shared" ref="F8:F17" si="0">IF(D8=0,0,B8/D8)</f>
        <v>0</v>
      </c>
      <c r="G8" s="6">
        <f t="shared" ref="G8:G17" si="1">IF(E8=0,0,C8/E8)</f>
        <v>0</v>
      </c>
      <c r="H8" s="6">
        <f t="shared" ref="H8:H17" si="2">IF(D8+E8=0,0,(B8+C8)/(D8+E8))</f>
        <v>0</v>
      </c>
      <c r="I8" s="21"/>
      <c r="J8" s="21"/>
      <c r="K8" s="6">
        <v>0</v>
      </c>
      <c r="L8" s="19">
        <f t="shared" ref="L8:L11" si="3">IF(I8=0,0,(B8-I8)/I8)</f>
        <v>0</v>
      </c>
      <c r="M8" s="19">
        <f t="shared" ref="M8:M11" si="4">IF(K8=0,0,(H8-K8)/K8)</f>
        <v>0</v>
      </c>
    </row>
    <row r="9" spans="1:13" x14ac:dyDescent="0.25">
      <c r="A9" s="17" t="s">
        <v>8</v>
      </c>
      <c r="B9" s="70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/>
      <c r="J9" s="21"/>
      <c r="K9" s="6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10</v>
      </c>
      <c r="B10" s="98">
        <v>1282968</v>
      </c>
      <c r="C10" s="21"/>
      <c r="D10" s="63">
        <v>3912</v>
      </c>
      <c r="E10" s="21"/>
      <c r="F10" s="6">
        <f t="shared" si="0"/>
        <v>327.95705521472394</v>
      </c>
      <c r="G10" s="6">
        <f t="shared" si="1"/>
        <v>0</v>
      </c>
      <c r="H10" s="6">
        <f t="shared" si="2"/>
        <v>327.95705521472394</v>
      </c>
      <c r="I10" s="21">
        <v>856720</v>
      </c>
      <c r="J10" s="21">
        <v>123643</v>
      </c>
      <c r="K10" s="6">
        <v>268.81</v>
      </c>
      <c r="L10" s="19">
        <f t="shared" si="3"/>
        <v>0.49753478382668781</v>
      </c>
      <c r="M10" s="19">
        <f t="shared" si="4"/>
        <v>0.22003294228162618</v>
      </c>
    </row>
    <row r="11" spans="1:13" x14ac:dyDescent="0.25">
      <c r="A11" s="17" t="s">
        <v>7</v>
      </c>
      <c r="B11" s="72">
        <v>86712.66</v>
      </c>
      <c r="C11" s="60"/>
      <c r="D11" s="117">
        <v>299.89999999999998</v>
      </c>
      <c r="E11" s="21"/>
      <c r="F11" s="6">
        <f t="shared" si="0"/>
        <v>289.13857952650886</v>
      </c>
      <c r="G11" s="6">
        <f t="shared" si="1"/>
        <v>0</v>
      </c>
      <c r="H11" s="6">
        <f t="shared" si="2"/>
        <v>289.13857952650886</v>
      </c>
      <c r="I11" s="21">
        <v>689244</v>
      </c>
      <c r="J11" s="21"/>
      <c r="K11" s="6">
        <v>308.83999999999997</v>
      </c>
      <c r="L11" s="19">
        <f t="shared" si="3"/>
        <v>-0.87419163605341499</v>
      </c>
      <c r="M11" s="19">
        <f t="shared" si="4"/>
        <v>-6.3791673596331797E-2</v>
      </c>
    </row>
    <row r="12" spans="1:13" x14ac:dyDescent="0.25">
      <c r="A12" s="17" t="s">
        <v>11</v>
      </c>
      <c r="B12" s="70"/>
      <c r="C12" s="21"/>
      <c r="D12" s="21"/>
      <c r="E12" s="21"/>
      <c r="F12" s="6">
        <f>IF(D12=0,0,B12/D12)</f>
        <v>0</v>
      </c>
      <c r="G12" s="6">
        <f>IF(E12=0,0,C12/E12)</f>
        <v>0</v>
      </c>
      <c r="H12" s="6">
        <f>IF(D12+E12=0,0,(B12+C12)/(D12+E12))</f>
        <v>0</v>
      </c>
      <c r="I12" s="21"/>
      <c r="J12" s="21"/>
      <c r="K12" s="6"/>
      <c r="L12" s="19">
        <f t="shared" ref="L12:L18" si="5">IF(I12=0,0,(B12-I12)/I12)</f>
        <v>0</v>
      </c>
      <c r="M12" s="19">
        <f t="shared" ref="M12:M18" si="6">IF(K12=0,0,(H12-K12)/K12)</f>
        <v>0</v>
      </c>
    </row>
    <row r="13" spans="1:13" x14ac:dyDescent="0.25">
      <c r="A13" s="17" t="s">
        <v>13</v>
      </c>
      <c r="B13" s="88">
        <v>3966062</v>
      </c>
      <c r="C13" s="102">
        <v>95510</v>
      </c>
      <c r="D13" s="88">
        <v>12372</v>
      </c>
      <c r="E13" s="127">
        <v>559</v>
      </c>
      <c r="F13" s="6">
        <f>IF(D13=0,0,B13/D13)</f>
        <v>320.56757193663111</v>
      </c>
      <c r="G13" s="6">
        <f t="shared" si="1"/>
        <v>170.85867620751341</v>
      </c>
      <c r="H13" s="6">
        <f t="shared" si="2"/>
        <v>314.09573892197045</v>
      </c>
      <c r="I13" s="21">
        <v>5278154</v>
      </c>
      <c r="J13" s="21">
        <v>204969</v>
      </c>
      <c r="K13" s="6">
        <v>265.58</v>
      </c>
      <c r="L13" s="19">
        <f t="shared" si="5"/>
        <v>-0.24858918477937553</v>
      </c>
      <c r="M13" s="19">
        <f t="shared" si="6"/>
        <v>0.1826784355823875</v>
      </c>
    </row>
    <row r="14" spans="1:13" x14ac:dyDescent="0.25">
      <c r="A14" s="17" t="s">
        <v>14</v>
      </c>
      <c r="B14" s="89">
        <v>1266123.93</v>
      </c>
      <c r="C14" s="62"/>
      <c r="D14" s="89">
        <v>3779</v>
      </c>
      <c r="E14" s="21"/>
      <c r="F14" s="6">
        <f t="shared" si="0"/>
        <v>335.04205609949719</v>
      </c>
      <c r="G14" s="6">
        <f t="shared" si="1"/>
        <v>0</v>
      </c>
      <c r="H14" s="6">
        <f t="shared" si="2"/>
        <v>335.04205609949719</v>
      </c>
      <c r="I14" s="21">
        <v>1034676</v>
      </c>
      <c r="J14" s="21"/>
      <c r="K14" s="6">
        <v>351.66</v>
      </c>
      <c r="L14" s="19">
        <f t="shared" si="5"/>
        <v>0.22369121348132162</v>
      </c>
      <c r="M14" s="19">
        <f t="shared" si="6"/>
        <v>-4.7255712621574353E-2</v>
      </c>
    </row>
    <row r="15" spans="1:13" x14ac:dyDescent="0.25">
      <c r="A15" s="17" t="s">
        <v>16</v>
      </c>
      <c r="B15" s="119">
        <v>3737182</v>
      </c>
      <c r="C15" s="63">
        <v>508376</v>
      </c>
      <c r="D15" s="120">
        <v>12649</v>
      </c>
      <c r="E15" s="63">
        <v>3157</v>
      </c>
      <c r="F15" s="6">
        <f t="shared" si="0"/>
        <v>295.45276306427388</v>
      </c>
      <c r="G15" s="6">
        <f t="shared" si="1"/>
        <v>161.03135888501743</v>
      </c>
      <c r="H15" s="6">
        <f t="shared" si="2"/>
        <v>268.60420093635327</v>
      </c>
      <c r="I15" s="21">
        <v>4620371</v>
      </c>
      <c r="J15" s="21">
        <v>590487</v>
      </c>
      <c r="K15" s="6">
        <v>297.42</v>
      </c>
      <c r="L15" s="19">
        <f t="shared" si="5"/>
        <v>-0.19115110020385809</v>
      </c>
      <c r="M15" s="19">
        <f t="shared" si="6"/>
        <v>-9.6885882131822837E-2</v>
      </c>
    </row>
    <row r="16" spans="1:13" x14ac:dyDescent="0.25">
      <c r="A16" s="17" t="s">
        <v>17</v>
      </c>
      <c r="B16" s="70"/>
      <c r="C16" s="21"/>
      <c r="D16" s="21"/>
      <c r="E16" s="21"/>
      <c r="F16" s="6">
        <f>IF(D16=0,0,B16/D16)</f>
        <v>0</v>
      </c>
      <c r="G16" s="6">
        <f>IF(E16=0,0,C16/E16)</f>
        <v>0</v>
      </c>
      <c r="H16" s="6">
        <f>IF(D16+E16=0,0,(B16+C16)/(D16+E16))</f>
        <v>0</v>
      </c>
      <c r="I16" s="21">
        <v>169042</v>
      </c>
      <c r="J16" s="21"/>
      <c r="K16" s="6">
        <v>248.66</v>
      </c>
      <c r="L16" s="19">
        <f t="shared" si="5"/>
        <v>-1</v>
      </c>
      <c r="M16" s="19">
        <f t="shared" si="6"/>
        <v>-1</v>
      </c>
    </row>
    <row r="17" spans="1:13" x14ac:dyDescent="0.25">
      <c r="A17" s="17" t="s">
        <v>19</v>
      </c>
      <c r="B17" s="72">
        <v>3403810.68</v>
      </c>
      <c r="C17" s="92">
        <v>467725.22</v>
      </c>
      <c r="D17" s="72">
        <v>10648.5</v>
      </c>
      <c r="E17" s="95">
        <v>2656.5</v>
      </c>
      <c r="F17" s="6">
        <f t="shared" si="0"/>
        <v>319.6516579799972</v>
      </c>
      <c r="G17" s="6">
        <f t="shared" si="1"/>
        <v>176.06821757952193</v>
      </c>
      <c r="H17" s="6">
        <f t="shared" si="2"/>
        <v>290.98353250657652</v>
      </c>
      <c r="I17" s="21">
        <v>4792814</v>
      </c>
      <c r="J17" s="21">
        <v>288977</v>
      </c>
      <c r="K17" s="6">
        <v>319.58</v>
      </c>
      <c r="L17" s="19">
        <f t="shared" si="5"/>
        <v>-0.28980956072987596</v>
      </c>
      <c r="M17" s="19">
        <f t="shared" si="6"/>
        <v>-8.9481405261353841E-2</v>
      </c>
    </row>
    <row r="18" spans="1:13" s="11" customFormat="1" x14ac:dyDescent="0.25">
      <c r="A18" s="18" t="s">
        <v>20</v>
      </c>
      <c r="B18" s="73">
        <f>SUM(B7:B17)</f>
        <v>13753480.27</v>
      </c>
      <c r="C18" s="8">
        <f>SUM(C7:C17)</f>
        <v>1149017.22</v>
      </c>
      <c r="D18" s="64">
        <f>SUM(D7:D17)</f>
        <v>43695.9</v>
      </c>
      <c r="E18" s="128">
        <f>SUM(E7:E17)</f>
        <v>6799.5</v>
      </c>
      <c r="F18" s="9">
        <f>IF(D18=0,0,B18/D18)</f>
        <v>314.75447971091108</v>
      </c>
      <c r="G18" s="9">
        <f>IF(E18=0,0,C18/E18)</f>
        <v>168.98554599602912</v>
      </c>
      <c r="H18" s="9">
        <f>IF(D18+E18=0,0,(B18+C18)/(D18+E18))</f>
        <v>295.1258429480705</v>
      </c>
      <c r="I18" s="56">
        <f>SUM(I7:I17)</f>
        <v>17801287</v>
      </c>
      <c r="J18" s="56">
        <f>SUM(J7:J17)</f>
        <v>1208076</v>
      </c>
      <c r="K18" s="31">
        <v>293.85000000000002</v>
      </c>
      <c r="L18" s="32">
        <f t="shared" si="5"/>
        <v>-0.22738843152183325</v>
      </c>
      <c r="M18" s="32">
        <f t="shared" si="6"/>
        <v>4.3418170769796705E-3</v>
      </c>
    </row>
    <row r="21" spans="1:13" ht="20.25" x14ac:dyDescent="0.3">
      <c r="A21" s="20" t="str">
        <f>"MÅLESTATISTIKK FOR  TAKTEKKERE  - 2. HALVÅR "&amp;FORS!$A$14</f>
        <v>MÅLESTATISTIKK FOR  TAKTEKKERE  - 2. HALVÅR 2016</v>
      </c>
    </row>
    <row r="22" spans="1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5"/>
      <c r="B23" s="2" t="s">
        <v>4</v>
      </c>
      <c r="C23" s="3"/>
      <c r="D23" s="2" t="s">
        <v>5</v>
      </c>
      <c r="E23" s="3"/>
      <c r="F23" s="2" t="str">
        <f>"Fortjeneste 2. halvår  "&amp;FORS!$A$14-0</f>
        <v>Fortjeneste 2. halvår  2016</v>
      </c>
      <c r="G23" s="5"/>
      <c r="H23" s="3"/>
      <c r="I23" s="2" t="str">
        <f>" 2. halvår  "&amp;FORS!$A$14-1</f>
        <v xml:space="preserve"> 2. halvår  2015</v>
      </c>
      <c r="J23" s="5"/>
      <c r="K23" s="3"/>
      <c r="L23" s="47" t="s">
        <v>29</v>
      </c>
      <c r="M23" s="3"/>
    </row>
    <row r="24" spans="1:13" x14ac:dyDescent="0.25">
      <c r="A24" s="48"/>
      <c r="B24" s="49" t="s">
        <v>6</v>
      </c>
      <c r="C24" s="49" t="s">
        <v>6</v>
      </c>
      <c r="D24" s="49" t="s">
        <v>6</v>
      </c>
      <c r="E24" s="49" t="s">
        <v>6</v>
      </c>
      <c r="F24" s="49" t="s">
        <v>6</v>
      </c>
      <c r="G24" s="49" t="s">
        <v>6</v>
      </c>
      <c r="H24" s="50" t="s">
        <v>33</v>
      </c>
      <c r="I24" s="49" t="s">
        <v>6</v>
      </c>
      <c r="J24" s="49" t="s">
        <v>6</v>
      </c>
      <c r="K24" s="50" t="s">
        <v>31</v>
      </c>
      <c r="L24" s="49" t="s">
        <v>6</v>
      </c>
      <c r="M24" s="50" t="s">
        <v>31</v>
      </c>
    </row>
    <row r="25" spans="1:13" x14ac:dyDescent="0.25">
      <c r="A25" s="52"/>
      <c r="B25" s="53" t="s">
        <v>30</v>
      </c>
      <c r="C25" s="53" t="s">
        <v>32</v>
      </c>
      <c r="D25" s="53" t="s">
        <v>30</v>
      </c>
      <c r="E25" s="53" t="s">
        <v>32</v>
      </c>
      <c r="F25" s="53" t="s">
        <v>30</v>
      </c>
      <c r="G25" s="53" t="s">
        <v>32</v>
      </c>
      <c r="H25" s="54" t="s">
        <v>34</v>
      </c>
      <c r="I25" s="53" t="s">
        <v>30</v>
      </c>
      <c r="J25" s="53" t="s">
        <v>32</v>
      </c>
      <c r="K25" s="54" t="s">
        <v>28</v>
      </c>
      <c r="L25" s="53" t="s">
        <v>30</v>
      </c>
      <c r="M25" s="54" t="s">
        <v>28</v>
      </c>
    </row>
    <row r="26" spans="1:13" x14ac:dyDescent="0.25">
      <c r="A26" s="17" t="s">
        <v>25</v>
      </c>
      <c r="B26" s="109">
        <v>163682</v>
      </c>
      <c r="C26" s="79"/>
      <c r="D26" s="80">
        <v>595</v>
      </c>
      <c r="E26" s="21"/>
      <c r="F26" s="6">
        <f>IF(D26=0,0,B26/D26)</f>
        <v>275.09579831932774</v>
      </c>
      <c r="G26" s="6">
        <f>IF(E26=0,0,C26/E26)</f>
        <v>0</v>
      </c>
      <c r="H26" s="6">
        <f>IF(D26+E26=0,0,(B26+C26)/(D26+E26))</f>
        <v>275.09579831932774</v>
      </c>
      <c r="I26" s="21">
        <v>201527</v>
      </c>
      <c r="J26" s="21"/>
      <c r="K26" s="6">
        <v>348.06</v>
      </c>
      <c r="L26" s="19">
        <f>IF(I26=0,0,(B26-I26)/I26)</f>
        <v>-0.18779121408049543</v>
      </c>
      <c r="M26" s="19">
        <f>IF(K26=0,0,(H26-K26)/K26)</f>
        <v>-0.20963110291522227</v>
      </c>
    </row>
    <row r="27" spans="1:13" x14ac:dyDescent="0.25">
      <c r="A27" s="17" t="s">
        <v>9</v>
      </c>
      <c r="B27" s="21"/>
      <c r="C27" s="21"/>
      <c r="D27" s="21"/>
      <c r="E27" s="21"/>
      <c r="F27" s="6">
        <f t="shared" ref="F27:F33" si="7">IF(D27=0,0,B27/D27)</f>
        <v>0</v>
      </c>
      <c r="G27" s="6">
        <f t="shared" ref="G27:G36" si="8">IF(E27=0,0,C27/E27)</f>
        <v>0</v>
      </c>
      <c r="H27" s="6">
        <f t="shared" ref="H27:H36" si="9">IF(D27+E27=0,0,(B27+C27)/(D27+E27))</f>
        <v>0</v>
      </c>
      <c r="I27" s="21"/>
      <c r="J27" s="21"/>
      <c r="K27" s="6">
        <v>0</v>
      </c>
      <c r="L27" s="19">
        <f t="shared" ref="L27:L37" si="10">IF(I27=0,0,(B27-I27)/I27)</f>
        <v>0</v>
      </c>
      <c r="M27" s="19">
        <f t="shared" ref="M27:M37" si="11">IF(K27=0,0,(H27-K27)/K27)</f>
        <v>0</v>
      </c>
    </row>
    <row r="28" spans="1:13" x14ac:dyDescent="0.25">
      <c r="A28" s="17" t="s">
        <v>8</v>
      </c>
      <c r="B28" s="21"/>
      <c r="C28" s="21"/>
      <c r="D28" s="21"/>
      <c r="E28" s="21"/>
      <c r="F28" s="6">
        <f t="shared" si="7"/>
        <v>0</v>
      </c>
      <c r="G28" s="6">
        <f t="shared" si="8"/>
        <v>0</v>
      </c>
      <c r="H28" s="6">
        <f t="shared" si="9"/>
        <v>0</v>
      </c>
      <c r="I28" s="21"/>
      <c r="J28" s="21"/>
      <c r="K28" s="6">
        <v>0</v>
      </c>
      <c r="L28" s="19">
        <f t="shared" si="10"/>
        <v>0</v>
      </c>
      <c r="M28" s="19">
        <f t="shared" si="11"/>
        <v>0</v>
      </c>
    </row>
    <row r="29" spans="1:13" x14ac:dyDescent="0.25">
      <c r="A29" s="17" t="s">
        <v>10</v>
      </c>
      <c r="B29" s="63">
        <v>1250367</v>
      </c>
      <c r="C29" s="21"/>
      <c r="D29" s="63">
        <v>3801</v>
      </c>
      <c r="E29" s="21"/>
      <c r="F29" s="6">
        <f t="shared" si="7"/>
        <v>328.95737963693767</v>
      </c>
      <c r="G29" s="6">
        <f t="shared" si="8"/>
        <v>0</v>
      </c>
      <c r="H29" s="6">
        <f t="shared" si="9"/>
        <v>328.95737963693767</v>
      </c>
      <c r="I29" s="21">
        <v>1264367</v>
      </c>
      <c r="J29" s="21">
        <v>113701</v>
      </c>
      <c r="K29" s="6">
        <v>306.51</v>
      </c>
      <c r="L29" s="19">
        <f t="shared" si="10"/>
        <v>-1.1072734419674034E-2</v>
      </c>
      <c r="M29" s="19">
        <f t="shared" si="11"/>
        <v>7.3235390809231943E-2</v>
      </c>
    </row>
    <row r="30" spans="1:13" x14ac:dyDescent="0.25">
      <c r="A30" s="17" t="s">
        <v>7</v>
      </c>
      <c r="B30" s="63"/>
      <c r="C30" s="21"/>
      <c r="D30" s="21"/>
      <c r="E30" s="21"/>
      <c r="F30" s="6">
        <f>IF(D30=0,0,B30/D30)</f>
        <v>0</v>
      </c>
      <c r="G30" s="6">
        <f>IF(E30=0,0,C30/E30)</f>
        <v>0</v>
      </c>
      <c r="H30" s="6">
        <f>IF(D30+E30=0,0,(B30+C30)/(D30+E30))</f>
        <v>0</v>
      </c>
      <c r="I30" s="21">
        <v>60049</v>
      </c>
      <c r="J30" s="21"/>
      <c r="K30" s="6">
        <v>341.19</v>
      </c>
      <c r="L30" s="19">
        <f t="shared" si="10"/>
        <v>-1</v>
      </c>
      <c r="M30" s="19">
        <f t="shared" si="11"/>
        <v>-1</v>
      </c>
    </row>
    <row r="31" spans="1:13" x14ac:dyDescent="0.25">
      <c r="A31" s="17" t="s">
        <v>11</v>
      </c>
      <c r="B31" s="21"/>
      <c r="C31" s="21"/>
      <c r="D31" s="21"/>
      <c r="E31" s="21"/>
      <c r="F31" s="6">
        <f>IF(D31=0,0,B31/D31)</f>
        <v>0</v>
      </c>
      <c r="G31" s="6">
        <f>IF(E31=0,0,C31/E31)</f>
        <v>0</v>
      </c>
      <c r="H31" s="6">
        <f>IF(D31+E31=0,0,(B31+C31)/(D31+E31))</f>
        <v>0</v>
      </c>
      <c r="I31" s="21"/>
      <c r="J31" s="21"/>
      <c r="K31" s="6">
        <v>0</v>
      </c>
      <c r="L31" s="19">
        <f t="shared" si="10"/>
        <v>0</v>
      </c>
      <c r="M31" s="19">
        <f t="shared" si="11"/>
        <v>0</v>
      </c>
    </row>
    <row r="32" spans="1:13" x14ac:dyDescent="0.25">
      <c r="A32" s="17" t="s">
        <v>13</v>
      </c>
      <c r="B32" s="21">
        <v>3372888</v>
      </c>
      <c r="C32" s="21">
        <v>130812</v>
      </c>
      <c r="D32" s="21">
        <v>10946</v>
      </c>
      <c r="E32" s="21">
        <v>677</v>
      </c>
      <c r="F32" s="6">
        <f t="shared" si="7"/>
        <v>308.13886351178513</v>
      </c>
      <c r="G32" s="6">
        <f t="shared" si="8"/>
        <v>193.22304283604137</v>
      </c>
      <c r="H32" s="6">
        <f t="shared" si="9"/>
        <v>301.44540996300441</v>
      </c>
      <c r="I32" s="21">
        <v>4611715</v>
      </c>
      <c r="J32" s="21">
        <v>262724</v>
      </c>
      <c r="K32" s="6">
        <v>322.26</v>
      </c>
      <c r="L32" s="19">
        <f t="shared" si="10"/>
        <v>-0.26862609679913002</v>
      </c>
      <c r="M32" s="19">
        <f t="shared" si="11"/>
        <v>-6.4589431009109369E-2</v>
      </c>
    </row>
    <row r="33" spans="1:13" x14ac:dyDescent="0.25">
      <c r="A33" s="17" t="s">
        <v>14</v>
      </c>
      <c r="B33" s="63">
        <v>1528157.86</v>
      </c>
      <c r="C33" s="21"/>
      <c r="D33" s="63">
        <v>4523.7</v>
      </c>
      <c r="E33" s="21"/>
      <c r="F33" s="6">
        <f t="shared" si="7"/>
        <v>337.8114950151425</v>
      </c>
      <c r="G33" s="6">
        <f t="shared" si="8"/>
        <v>0</v>
      </c>
      <c r="H33" s="6">
        <f t="shared" si="9"/>
        <v>337.8114950151425</v>
      </c>
      <c r="I33" s="21">
        <v>915167</v>
      </c>
      <c r="J33" s="21"/>
      <c r="K33" s="6">
        <v>336.9</v>
      </c>
      <c r="L33" s="19">
        <f t="shared" si="10"/>
        <v>0.6698131160760824</v>
      </c>
      <c r="M33" s="19">
        <f t="shared" si="11"/>
        <v>2.7055358122366297E-3</v>
      </c>
    </row>
    <row r="34" spans="1:13" x14ac:dyDescent="0.25">
      <c r="A34" s="17" t="s">
        <v>16</v>
      </c>
      <c r="B34" s="63">
        <v>3900995</v>
      </c>
      <c r="C34" s="63">
        <v>742859</v>
      </c>
      <c r="D34" s="21">
        <v>12285</v>
      </c>
      <c r="E34" s="21">
        <v>4665</v>
      </c>
      <c r="F34" s="6">
        <f>IF(D34=0,0,B34/D34)</f>
        <v>317.54131054131057</v>
      </c>
      <c r="G34" s="6">
        <f t="shared" si="8"/>
        <v>159.24094319399785</v>
      </c>
      <c r="H34" s="6">
        <f>IF(D34+E34=0,0,(B34+C34)/(D34+E34))</f>
        <v>273.97368731563421</v>
      </c>
      <c r="I34" s="21">
        <v>5479666</v>
      </c>
      <c r="J34" s="21">
        <v>375200</v>
      </c>
      <c r="K34" s="6">
        <v>308.08999999999997</v>
      </c>
      <c r="L34" s="19">
        <f t="shared" si="10"/>
        <v>-0.28809620878352804</v>
      </c>
      <c r="M34" s="19">
        <f t="shared" si="11"/>
        <v>-0.11073489137708387</v>
      </c>
    </row>
    <row r="35" spans="1:13" x14ac:dyDescent="0.25">
      <c r="A35" s="17" t="s">
        <v>17</v>
      </c>
      <c r="B35" s="21"/>
      <c r="C35" s="21"/>
      <c r="D35" s="21"/>
      <c r="E35" s="21"/>
      <c r="F35" s="6">
        <f>IF(D35=0,0,B35/D35)</f>
        <v>0</v>
      </c>
      <c r="G35" s="6">
        <f t="shared" si="8"/>
        <v>0</v>
      </c>
      <c r="H35" s="6">
        <f>IF(D35+E35=0,0,(B35+C35)/(D35+E35))</f>
        <v>0</v>
      </c>
      <c r="I35" s="21"/>
      <c r="J35" s="21"/>
      <c r="K35" s="6"/>
      <c r="L35" s="19">
        <f t="shared" si="10"/>
        <v>0</v>
      </c>
      <c r="M35" s="19">
        <f t="shared" si="11"/>
        <v>0</v>
      </c>
    </row>
    <row r="36" spans="1:13" x14ac:dyDescent="0.25">
      <c r="A36" s="17" t="s">
        <v>19</v>
      </c>
      <c r="B36" s="120">
        <v>2797589.4</v>
      </c>
      <c r="C36" s="63">
        <v>300961.09000000003</v>
      </c>
      <c r="D36" s="63">
        <v>8295.7000000000007</v>
      </c>
      <c r="E36" s="63">
        <v>1685.5</v>
      </c>
      <c r="F36" s="6">
        <f>IF(D36=0,0,B36/D36)</f>
        <v>337.2336752775534</v>
      </c>
      <c r="G36" s="6">
        <f t="shared" si="8"/>
        <v>178.55893800059332</v>
      </c>
      <c r="H36" s="6">
        <f t="shared" si="9"/>
        <v>310.4386737065683</v>
      </c>
      <c r="I36" s="21">
        <v>3681003.65</v>
      </c>
      <c r="J36" s="21">
        <v>570504.05000000005</v>
      </c>
      <c r="K36" s="6">
        <v>265.83</v>
      </c>
      <c r="L36" s="19">
        <f t="shared" si="10"/>
        <v>-0.23999276664667257</v>
      </c>
      <c r="M36" s="19">
        <f t="shared" si="11"/>
        <v>0.1678090272225419</v>
      </c>
    </row>
    <row r="37" spans="1:13" x14ac:dyDescent="0.25">
      <c r="A37" s="18" t="s">
        <v>20</v>
      </c>
      <c r="B37" s="8">
        <f>SUM(B26:B36)</f>
        <v>13013679.26</v>
      </c>
      <c r="C37" s="8">
        <f>SUM(C26:C36)</f>
        <v>1174632.0900000001</v>
      </c>
      <c r="D37" s="8">
        <f>SUM(D26:D36)</f>
        <v>40446.400000000001</v>
      </c>
      <c r="E37" s="23">
        <f>SUM(E26:E36)</f>
        <v>7027.5</v>
      </c>
      <c r="F37" s="9">
        <f>IF(D37=0,0,B37/D37)</f>
        <v>321.75123768740849</v>
      </c>
      <c r="G37" s="9">
        <f>IF(E37=0,0,C37/E37)</f>
        <v>167.14793169690503</v>
      </c>
      <c r="H37" s="9">
        <f>IF(D37+E37=0,0,(B37+C37)/(D37+E37))</f>
        <v>298.86551031198195</v>
      </c>
      <c r="I37" s="8">
        <f>SUM(I26:I36)</f>
        <v>16213494.65</v>
      </c>
      <c r="J37" s="8">
        <f>SUM(J26:J36)</f>
        <v>1322129.05</v>
      </c>
      <c r="K37" s="31">
        <v>301.87</v>
      </c>
      <c r="L37" s="10">
        <f t="shared" si="10"/>
        <v>-0.19735507113514239</v>
      </c>
      <c r="M37" s="10">
        <f t="shared" si="11"/>
        <v>-9.95292572305315E-3</v>
      </c>
    </row>
    <row r="40" spans="1:13" ht="20.25" x14ac:dyDescent="0.3">
      <c r="A40" s="20" t="str">
        <f>"MÅLESTATISTIKK FOR  TAKTEKKERE  - GJENNOMSNITT HELE ÅRET  "&amp;FORS!$A$14</f>
        <v>MÅLESTATISTIKK FOR  TAKTEKKERE  - GJENNOMSNITT HELE ÅRET  2016</v>
      </c>
    </row>
    <row r="41" spans="1:1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5"/>
      <c r="B42" s="2" t="s">
        <v>4</v>
      </c>
      <c r="C42" s="3"/>
      <c r="D42" s="2" t="s">
        <v>5</v>
      </c>
      <c r="E42" s="3"/>
      <c r="F42" s="2" t="str">
        <f>"Fortjeneste hele  "&amp;FORS!$A$14-0</f>
        <v>Fortjeneste hele  2016</v>
      </c>
      <c r="G42" s="5"/>
      <c r="H42" s="3"/>
      <c r="I42" s="2" t="str">
        <f>" Hele året  "&amp;FORS!$A$14-1</f>
        <v xml:space="preserve"> Hele året  2015</v>
      </c>
      <c r="J42" s="5"/>
      <c r="K42" s="3"/>
      <c r="L42" s="47" t="s">
        <v>29</v>
      </c>
      <c r="M42" s="3"/>
    </row>
    <row r="43" spans="1:13" x14ac:dyDescent="0.25">
      <c r="A43" s="48"/>
      <c r="B43" s="49" t="s">
        <v>6</v>
      </c>
      <c r="C43" s="49" t="s">
        <v>6</v>
      </c>
      <c r="D43" s="49" t="s">
        <v>6</v>
      </c>
      <c r="E43" s="49" t="s">
        <v>6</v>
      </c>
      <c r="F43" s="49" t="s">
        <v>6</v>
      </c>
      <c r="G43" s="49" t="s">
        <v>6</v>
      </c>
      <c r="H43" s="50" t="s">
        <v>33</v>
      </c>
      <c r="I43" s="49" t="s">
        <v>6</v>
      </c>
      <c r="J43" s="49" t="s">
        <v>6</v>
      </c>
      <c r="K43" s="50" t="s">
        <v>31</v>
      </c>
      <c r="L43" s="49" t="s">
        <v>6</v>
      </c>
      <c r="M43" s="50" t="s">
        <v>31</v>
      </c>
    </row>
    <row r="44" spans="1:13" x14ac:dyDescent="0.25">
      <c r="A44" s="52"/>
      <c r="B44" s="53" t="s">
        <v>30</v>
      </c>
      <c r="C44" s="53" t="s">
        <v>32</v>
      </c>
      <c r="D44" s="53" t="s">
        <v>30</v>
      </c>
      <c r="E44" s="53" t="s">
        <v>32</v>
      </c>
      <c r="F44" s="53" t="s">
        <v>30</v>
      </c>
      <c r="G44" s="53" t="s">
        <v>32</v>
      </c>
      <c r="H44" s="54" t="s">
        <v>34</v>
      </c>
      <c r="I44" s="53" t="s">
        <v>30</v>
      </c>
      <c r="J44" s="53" t="s">
        <v>32</v>
      </c>
      <c r="K44" s="54" t="s">
        <v>28</v>
      </c>
      <c r="L44" s="53" t="s">
        <v>30</v>
      </c>
      <c r="M44" s="54" t="s">
        <v>28</v>
      </c>
    </row>
    <row r="45" spans="1:13" x14ac:dyDescent="0.25">
      <c r="A45" s="17" t="s">
        <v>25</v>
      </c>
      <c r="B45" s="65">
        <f>B7+B26</f>
        <v>174303</v>
      </c>
      <c r="C45" s="65">
        <f>C7+C26</f>
        <v>77406</v>
      </c>
      <c r="D45" s="4">
        <f>D7+D26</f>
        <v>630.5</v>
      </c>
      <c r="E45" s="4">
        <f>E7+E26</f>
        <v>427</v>
      </c>
      <c r="F45" s="6">
        <f>IF(D45=0,0,B45/D45)</f>
        <v>276.45202220459953</v>
      </c>
      <c r="G45" s="6">
        <f>IF(E45=0,0,C45/E45)</f>
        <v>181.27868852459017</v>
      </c>
      <c r="H45" s="6">
        <f>IF(D45+E45=0,0,(B45+C45)/(D45+E45))</f>
        <v>238.022695035461</v>
      </c>
      <c r="I45" s="55">
        <f>I7+I26</f>
        <v>561793</v>
      </c>
      <c r="J45" s="55">
        <f>J7+J26</f>
        <v>0</v>
      </c>
      <c r="K45" s="6">
        <v>330</v>
      </c>
      <c r="L45" s="19">
        <f>IF(I45=0,0,(B45-I45)/I45)</f>
        <v>-0.68973803518377763</v>
      </c>
      <c r="M45" s="19">
        <f>IF(K45=0,0,(H45-K45)/K45)</f>
        <v>-0.27871910595314847</v>
      </c>
    </row>
    <row r="46" spans="1:13" x14ac:dyDescent="0.25">
      <c r="A46" s="17" t="s">
        <v>9</v>
      </c>
      <c r="B46" s="4"/>
      <c r="C46" s="4"/>
      <c r="D46" s="4"/>
      <c r="E46" s="4"/>
      <c r="F46" s="6">
        <f t="shared" ref="F46:F53" si="12">IF(D46=0,0,B46/D46)</f>
        <v>0</v>
      </c>
      <c r="G46" s="6">
        <f t="shared" ref="G46:G55" si="13">IF(E46=0,0,C46/E46)</f>
        <v>0</v>
      </c>
      <c r="H46" s="6">
        <f t="shared" ref="H46:H55" si="14">IF(D46+E46=0,0,(B46+C46)/(D46+E46))</f>
        <v>0</v>
      </c>
      <c r="I46" s="55">
        <f t="shared" ref="I46:J56" si="15">I8+I27</f>
        <v>0</v>
      </c>
      <c r="J46" s="55">
        <f t="shared" si="15"/>
        <v>0</v>
      </c>
      <c r="K46" s="6">
        <v>0</v>
      </c>
      <c r="L46" s="19">
        <f t="shared" ref="L46:L56" si="16">IF(I46=0,0,(B46-I46)/I46)</f>
        <v>0</v>
      </c>
      <c r="M46" s="19">
        <f t="shared" ref="M46:M56" si="17">IF(K46=0,0,(H46-K46)/K46)</f>
        <v>0</v>
      </c>
    </row>
    <row r="47" spans="1:13" x14ac:dyDescent="0.25">
      <c r="A47" s="17" t="s">
        <v>8</v>
      </c>
      <c r="B47" s="4"/>
      <c r="C47" s="4"/>
      <c r="D47" s="4"/>
      <c r="E47" s="4"/>
      <c r="F47" s="6">
        <f t="shared" si="12"/>
        <v>0</v>
      </c>
      <c r="G47" s="6">
        <f t="shared" si="13"/>
        <v>0</v>
      </c>
      <c r="H47" s="6">
        <f t="shared" si="14"/>
        <v>0</v>
      </c>
      <c r="I47" s="55">
        <f t="shared" si="15"/>
        <v>0</v>
      </c>
      <c r="J47" s="55">
        <f t="shared" si="15"/>
        <v>0</v>
      </c>
      <c r="K47" s="6">
        <v>0</v>
      </c>
      <c r="L47" s="19">
        <f t="shared" si="16"/>
        <v>0</v>
      </c>
      <c r="M47" s="19">
        <f t="shared" si="17"/>
        <v>0</v>
      </c>
    </row>
    <row r="48" spans="1:13" x14ac:dyDescent="0.25">
      <c r="A48" s="17" t="s">
        <v>10</v>
      </c>
      <c r="B48" s="65">
        <f>B10+B29</f>
        <v>2533335</v>
      </c>
      <c r="C48" s="4"/>
      <c r="D48" s="4">
        <f>D10+D29</f>
        <v>7713</v>
      </c>
      <c r="E48" s="4"/>
      <c r="F48" s="6">
        <f t="shared" si="12"/>
        <v>328.45001944768575</v>
      </c>
      <c r="G48" s="6">
        <f t="shared" si="13"/>
        <v>0</v>
      </c>
      <c r="H48" s="6">
        <f t="shared" si="14"/>
        <v>328.45001944768575</v>
      </c>
      <c r="I48" s="55">
        <f t="shared" si="15"/>
        <v>2121087</v>
      </c>
      <c r="J48" s="55">
        <f t="shared" si="15"/>
        <v>237344</v>
      </c>
      <c r="K48" s="6">
        <v>290</v>
      </c>
      <c r="L48" s="19">
        <f t="shared" si="16"/>
        <v>0.19435694999780773</v>
      </c>
      <c r="M48" s="19">
        <f t="shared" si="17"/>
        <v>0.13258627395753705</v>
      </c>
    </row>
    <row r="49" spans="1:13" x14ac:dyDescent="0.25">
      <c r="A49" s="17" t="s">
        <v>7</v>
      </c>
      <c r="B49" s="4"/>
      <c r="C49" s="4"/>
      <c r="D49" s="4"/>
      <c r="E49" s="4"/>
      <c r="F49" s="6">
        <f t="shared" si="12"/>
        <v>0</v>
      </c>
      <c r="G49" s="6">
        <f t="shared" si="13"/>
        <v>0</v>
      </c>
      <c r="H49" s="6">
        <f t="shared" si="14"/>
        <v>0</v>
      </c>
      <c r="I49" s="55">
        <f t="shared" si="15"/>
        <v>749293</v>
      </c>
      <c r="J49" s="55">
        <f t="shared" si="15"/>
        <v>0</v>
      </c>
      <c r="K49" s="6">
        <v>311</v>
      </c>
      <c r="L49" s="19">
        <f t="shared" si="16"/>
        <v>-1</v>
      </c>
      <c r="M49" s="19">
        <f t="shared" si="17"/>
        <v>-1</v>
      </c>
    </row>
    <row r="50" spans="1:13" x14ac:dyDescent="0.25">
      <c r="A50" s="17" t="s">
        <v>11</v>
      </c>
      <c r="B50" s="4"/>
      <c r="C50" s="4"/>
      <c r="D50" s="4"/>
      <c r="E50" s="4"/>
      <c r="F50" s="6">
        <f>IF(D50=0,0,B50/D50)</f>
        <v>0</v>
      </c>
      <c r="G50" s="6">
        <f>IF(E50=0,0,C50/E50)</f>
        <v>0</v>
      </c>
      <c r="H50" s="6">
        <f>IF(D50+E50=0,0,(B50+C50)/(D50+E50))</f>
        <v>0</v>
      </c>
      <c r="I50" s="55">
        <f t="shared" si="15"/>
        <v>0</v>
      </c>
      <c r="J50" s="55">
        <f t="shared" si="15"/>
        <v>0</v>
      </c>
      <c r="K50" s="6"/>
      <c r="L50" s="19">
        <f t="shared" si="16"/>
        <v>0</v>
      </c>
      <c r="M50" s="19">
        <f t="shared" si="17"/>
        <v>0</v>
      </c>
    </row>
    <row r="51" spans="1:13" x14ac:dyDescent="0.25">
      <c r="A51" s="17" t="s">
        <v>13</v>
      </c>
      <c r="B51" s="4">
        <f>B13+B32</f>
        <v>7338950</v>
      </c>
      <c r="C51" s="4">
        <f>C13+C32</f>
        <v>226322</v>
      </c>
      <c r="D51" s="4">
        <f>D13+D32</f>
        <v>23318</v>
      </c>
      <c r="E51" s="4">
        <f>E13+E32</f>
        <v>1236</v>
      </c>
      <c r="F51" s="6">
        <f t="shared" si="12"/>
        <v>314.73325328072735</v>
      </c>
      <c r="G51" s="6">
        <f t="shared" si="13"/>
        <v>183.10841423948219</v>
      </c>
      <c r="H51" s="6">
        <f t="shared" si="14"/>
        <v>308.10751812332001</v>
      </c>
      <c r="I51" s="55">
        <f t="shared" si="15"/>
        <v>9889869</v>
      </c>
      <c r="J51" s="55">
        <f t="shared" si="15"/>
        <v>467693</v>
      </c>
      <c r="K51" s="6">
        <v>290</v>
      </c>
      <c r="L51" s="19">
        <f t="shared" si="16"/>
        <v>-0.25793253682126627</v>
      </c>
      <c r="M51" s="19">
        <f t="shared" si="17"/>
        <v>6.2439717666620709E-2</v>
      </c>
    </row>
    <row r="52" spans="1:13" x14ac:dyDescent="0.25">
      <c r="A52" s="17" t="s">
        <v>14</v>
      </c>
      <c r="B52" s="65">
        <f>B14+B33</f>
        <v>2794281.79</v>
      </c>
      <c r="C52" s="4"/>
      <c r="D52" s="4">
        <f>D14+D33</f>
        <v>8302.7000000000007</v>
      </c>
      <c r="E52" s="4"/>
      <c r="F52" s="6">
        <f t="shared" si="12"/>
        <v>336.55097618846878</v>
      </c>
      <c r="G52" s="6">
        <f t="shared" si="13"/>
        <v>0</v>
      </c>
      <c r="H52" s="6">
        <f t="shared" si="14"/>
        <v>336.55097618846878</v>
      </c>
      <c r="I52" s="55">
        <f t="shared" si="15"/>
        <v>1949843</v>
      </c>
      <c r="J52" s="55">
        <f t="shared" si="15"/>
        <v>0</v>
      </c>
      <c r="K52" s="6">
        <v>345</v>
      </c>
      <c r="L52" s="19">
        <f t="shared" si="16"/>
        <v>0.43308040185799579</v>
      </c>
      <c r="M52" s="19">
        <f t="shared" si="17"/>
        <v>-2.4489924091394839E-2</v>
      </c>
    </row>
    <row r="53" spans="1:13" x14ac:dyDescent="0.25">
      <c r="A53" s="17" t="s">
        <v>16</v>
      </c>
      <c r="B53" s="65">
        <f>B15+B34</f>
        <v>7638177</v>
      </c>
      <c r="C53" s="65">
        <f>C15+C34</f>
        <v>1251235</v>
      </c>
      <c r="D53" s="4">
        <f>D15+D34</f>
        <v>24934</v>
      </c>
      <c r="E53" s="4">
        <f>E15+E34</f>
        <v>7822</v>
      </c>
      <c r="F53" s="6">
        <f t="shared" si="12"/>
        <v>306.33580652923717</v>
      </c>
      <c r="G53" s="6">
        <f t="shared" si="13"/>
        <v>159.96356430580414</v>
      </c>
      <c r="H53" s="6">
        <f t="shared" si="14"/>
        <v>271.38270851141777</v>
      </c>
      <c r="I53" s="55">
        <f t="shared" si="15"/>
        <v>10100037</v>
      </c>
      <c r="J53" s="55">
        <f t="shared" si="15"/>
        <v>965687</v>
      </c>
      <c r="K53" s="6">
        <v>303</v>
      </c>
      <c r="L53" s="19">
        <f t="shared" si="16"/>
        <v>-0.24374762191465238</v>
      </c>
      <c r="M53" s="19">
        <f t="shared" si="17"/>
        <v>-0.10434749666198755</v>
      </c>
    </row>
    <row r="54" spans="1:13" x14ac:dyDescent="0.25">
      <c r="A54" s="17" t="s">
        <v>17</v>
      </c>
      <c r="B54" s="4"/>
      <c r="C54" s="4"/>
      <c r="D54" s="4"/>
      <c r="E54" s="4"/>
      <c r="F54" s="6">
        <f>IF(D54=0,0,B54/D54)</f>
        <v>0</v>
      </c>
      <c r="G54" s="6">
        <f>IF(E54=0,0,C54/E54)</f>
        <v>0</v>
      </c>
      <c r="H54" s="6">
        <f>IF(D54+E54=0,0,(B54+C54)/(D54+E54))</f>
        <v>0</v>
      </c>
      <c r="I54" s="55">
        <f t="shared" si="15"/>
        <v>169042</v>
      </c>
      <c r="J54" s="55">
        <f t="shared" si="15"/>
        <v>0</v>
      </c>
      <c r="K54" s="6">
        <v>249</v>
      </c>
      <c r="L54" s="19">
        <f t="shared" si="16"/>
        <v>-1</v>
      </c>
      <c r="M54" s="19">
        <f t="shared" si="17"/>
        <v>-1</v>
      </c>
    </row>
    <row r="55" spans="1:13" ht="16.5" thickBot="1" x14ac:dyDescent="0.3">
      <c r="A55" s="17" t="s">
        <v>19</v>
      </c>
      <c r="B55" s="89">
        <f>B17+B36</f>
        <v>6201400.0800000001</v>
      </c>
      <c r="C55" s="89">
        <f>C17+C36</f>
        <v>768686.31</v>
      </c>
      <c r="D55" s="130">
        <f>D17+D36</f>
        <v>18944.2</v>
      </c>
      <c r="E55" s="131">
        <f>E17+E36</f>
        <v>4342</v>
      </c>
      <c r="F55" s="6">
        <f>IF(D55=0,0,B55/D55)</f>
        <v>327.35085567086497</v>
      </c>
      <c r="G55" s="6">
        <f t="shared" si="13"/>
        <v>177.03507830492862</v>
      </c>
      <c r="H55" s="6">
        <f t="shared" si="14"/>
        <v>299.32261983492373</v>
      </c>
      <c r="I55" s="55">
        <f t="shared" si="15"/>
        <v>8473817.6500000004</v>
      </c>
      <c r="J55" s="55">
        <f t="shared" si="15"/>
        <v>859481.05</v>
      </c>
      <c r="K55" s="6">
        <v>293</v>
      </c>
      <c r="L55" s="19">
        <f t="shared" si="16"/>
        <v>-0.26816927904980353</v>
      </c>
      <c r="M55" s="19">
        <f t="shared" si="17"/>
        <v>2.1578907286429104E-2</v>
      </c>
    </row>
    <row r="56" spans="1:13" ht="16.5" thickTop="1" x14ac:dyDescent="0.25">
      <c r="A56" s="18" t="s">
        <v>20</v>
      </c>
      <c r="B56" s="8">
        <f>SUM(B45:B55)</f>
        <v>26680446.869999997</v>
      </c>
      <c r="C56" s="8">
        <f>SUM(C45:C55)</f>
        <v>2323649.31</v>
      </c>
      <c r="D56" s="8">
        <f>SUM(D45:D55)</f>
        <v>83842.399999999994</v>
      </c>
      <c r="E56" s="8">
        <f>SUM(E45:E55)</f>
        <v>13827</v>
      </c>
      <c r="F56" s="9">
        <f>IF(D56=0,0,B56/D56)</f>
        <v>318.22141148154157</v>
      </c>
      <c r="G56" s="9">
        <f>IF(E56=0,0,C56/E56)</f>
        <v>168.05158819700586</v>
      </c>
      <c r="H56" s="9">
        <f>IF(D56+E56=0,0,(B56+C56)/(D56+E56))</f>
        <v>296.96195717389475</v>
      </c>
      <c r="I56" s="55">
        <f t="shared" si="15"/>
        <v>34014781.649999999</v>
      </c>
      <c r="J56" s="55">
        <f>J18+J37</f>
        <v>2530205.0499999998</v>
      </c>
      <c r="K56" s="31">
        <v>298</v>
      </c>
      <c r="L56" s="10">
        <f t="shared" si="16"/>
        <v>-0.21562198621374956</v>
      </c>
      <c r="M56" s="10">
        <f t="shared" si="17"/>
        <v>-3.4833651882726657E-3</v>
      </c>
    </row>
    <row r="63" spans="1:13" x14ac:dyDescent="0.25">
      <c r="I63" s="129"/>
    </row>
  </sheetData>
  <phoneticPr fontId="0" type="noConversion"/>
  <pageMargins left="0.59055118110236227" right="0.19685039370078741" top="0.98425196850393704" bottom="3.8" header="0.51181102362204722" footer="0.51181102362204722"/>
  <pageSetup paperSize="9" scale="85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showZeros="0" topLeftCell="A34" zoomScale="85" zoomScaleNormal="85" zoomScaleSheetLayoutView="100" zoomScalePageLayoutView="50" workbookViewId="0">
      <selection activeCell="P29" sqref="P29"/>
    </sheetView>
  </sheetViews>
  <sheetFormatPr baseColWidth="10" defaultColWidth="9" defaultRowHeight="15.75" x14ac:dyDescent="0.25"/>
  <cols>
    <col min="1" max="1" width="16.25" style="14" customWidth="1"/>
    <col min="2" max="2" width="13.5" customWidth="1"/>
    <col min="3" max="3" width="12.25" customWidth="1"/>
    <col min="4" max="4" width="11.125" customWidth="1"/>
    <col min="5" max="5" width="12" customWidth="1"/>
    <col min="6" max="6" width="11.375" customWidth="1"/>
    <col min="7" max="7" width="9.625" customWidth="1"/>
    <col min="8" max="8" width="11.375" customWidth="1"/>
    <col min="9" max="9" width="12.5" customWidth="1"/>
    <col min="10" max="10" width="10.375" customWidth="1"/>
    <col min="11" max="11" width="10.375" style="34" customWidth="1"/>
    <col min="12" max="12" width="9" customWidth="1"/>
    <col min="13" max="13" width="10" customWidth="1"/>
  </cols>
  <sheetData>
    <row r="2" spans="1:13" ht="20.25" x14ac:dyDescent="0.3">
      <c r="A2" s="20" t="str">
        <f>"MÅLESTATISTIKK FOR MURERE - 1. HALVÅR "&amp;FORS!$A$14</f>
        <v>MÅLESTATISTIKK FOR MURERE - 1. HALVÅR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2016</v>
      </c>
      <c r="G4" s="5"/>
      <c r="H4" s="3"/>
      <c r="I4" s="2" t="str">
        <f>" 1. halvår  "&amp;FORS!$A$14-1</f>
        <v xml:space="preserve"> 1. halvår  2015</v>
      </c>
      <c r="J4" s="5"/>
      <c r="K4" s="3"/>
      <c r="L4" s="47" t="s">
        <v>29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6" t="s">
        <v>25</v>
      </c>
      <c r="B7" s="21"/>
      <c r="C7" s="21"/>
      <c r="D7" s="21"/>
      <c r="E7" s="21"/>
      <c r="F7" s="6">
        <f>IF(D7=0,0,B7/D7)</f>
        <v>0</v>
      </c>
      <c r="G7" s="6">
        <f>IF(E7=0,0,C7/E7)</f>
        <v>0</v>
      </c>
      <c r="H7" s="6">
        <f>IF(D7+E7=0,0,(B7+C7)/(D7+E7))</f>
        <v>0</v>
      </c>
      <c r="I7" s="21"/>
      <c r="J7" s="21"/>
      <c r="K7" s="35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7</v>
      </c>
      <c r="B8" s="91">
        <v>79198.12</v>
      </c>
      <c r="C8" s="86"/>
      <c r="D8" s="81">
        <v>335.35</v>
      </c>
      <c r="E8" s="21"/>
      <c r="F8" s="6">
        <f t="shared" ref="F8:F18" si="0">IF(D8=0,0,B8/D8)</f>
        <v>236.16555837185027</v>
      </c>
      <c r="G8" s="6">
        <f t="shared" ref="G8:G18" si="1">IF(E8=0,0,C8/E8)</f>
        <v>0</v>
      </c>
      <c r="H8" s="6">
        <f t="shared" ref="H8:H18" si="2">IF(D8+E8=0,0,(B8+C8)/(D8+E8))</f>
        <v>236.16555837185027</v>
      </c>
      <c r="I8" s="21">
        <v>930717</v>
      </c>
      <c r="J8" s="21"/>
      <c r="K8" s="35">
        <v>260.02999999999997</v>
      </c>
      <c r="L8" s="19">
        <f t="shared" ref="L8:L18" si="3">IF(I8=0,0,(B8-I8)/I8)</f>
        <v>-0.91490633565305024</v>
      </c>
      <c r="M8" s="19">
        <f t="shared" ref="M8:M18" si="4">IF(K8=0,0,(H8-K8)/K8)</f>
        <v>-9.1775724447754906E-2</v>
      </c>
    </row>
    <row r="9" spans="1:13" x14ac:dyDescent="0.25">
      <c r="A9" s="17" t="s">
        <v>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/>
      <c r="J9" s="21"/>
      <c r="K9" s="35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10</v>
      </c>
      <c r="B10" s="63">
        <v>96166.71</v>
      </c>
      <c r="C10" s="21"/>
      <c r="D10" s="63">
        <v>226.9</v>
      </c>
      <c r="E10" s="21"/>
      <c r="F10" s="6">
        <f t="shared" si="0"/>
        <v>423.82860290877039</v>
      </c>
      <c r="G10" s="6">
        <f t="shared" si="1"/>
        <v>0</v>
      </c>
      <c r="H10" s="6">
        <f>IF(D10+E10=0,0,(B10+C10)/(D10+E10))</f>
        <v>423.82860290877039</v>
      </c>
      <c r="I10" s="21">
        <v>107726</v>
      </c>
      <c r="J10" s="21"/>
      <c r="K10" s="35">
        <v>397.66</v>
      </c>
      <c r="L10" s="19">
        <f t="shared" si="3"/>
        <v>-0.10730269387148872</v>
      </c>
      <c r="M10" s="19">
        <f t="shared" si="4"/>
        <v>6.5806475151562557E-2</v>
      </c>
    </row>
    <row r="11" spans="1:13" x14ac:dyDescent="0.25">
      <c r="A11" s="17" t="s">
        <v>11</v>
      </c>
      <c r="B11" s="21"/>
      <c r="C11" s="21"/>
      <c r="D11" s="21"/>
      <c r="E11" s="21"/>
      <c r="F11" s="6">
        <f t="shared" si="0"/>
        <v>0</v>
      </c>
      <c r="G11" s="6">
        <f t="shared" si="1"/>
        <v>0</v>
      </c>
      <c r="H11" s="6">
        <f t="shared" si="2"/>
        <v>0</v>
      </c>
      <c r="I11" s="21"/>
      <c r="J11" s="21"/>
      <c r="K11" s="35">
        <v>0</v>
      </c>
      <c r="L11" s="19">
        <f t="shared" si="3"/>
        <v>0</v>
      </c>
      <c r="M11" s="19">
        <f t="shared" si="4"/>
        <v>0</v>
      </c>
    </row>
    <row r="12" spans="1:13" x14ac:dyDescent="0.25">
      <c r="A12" s="17" t="s">
        <v>13</v>
      </c>
      <c r="B12" s="116">
        <v>462776</v>
      </c>
      <c r="C12" s="103"/>
      <c r="D12" s="88">
        <v>1492.5</v>
      </c>
      <c r="E12" s="4"/>
      <c r="F12" s="6">
        <f>IF(D12=0,0,B12/D12)</f>
        <v>310.06767169179227</v>
      </c>
      <c r="G12" s="6">
        <f t="shared" si="1"/>
        <v>0</v>
      </c>
      <c r="H12" s="6">
        <f t="shared" si="2"/>
        <v>310.06767169179227</v>
      </c>
      <c r="I12" s="21">
        <v>585212</v>
      </c>
      <c r="J12" s="21"/>
      <c r="K12" s="35">
        <v>303.61</v>
      </c>
      <c r="L12" s="19">
        <f t="shared" si="3"/>
        <v>-0.20921648906720983</v>
      </c>
      <c r="M12" s="19">
        <f t="shared" si="4"/>
        <v>2.1269627784961814E-2</v>
      </c>
    </row>
    <row r="13" spans="1:13" x14ac:dyDescent="0.25">
      <c r="A13" s="17" t="s">
        <v>15</v>
      </c>
      <c r="B13" s="21"/>
      <c r="C13" s="21"/>
      <c r="D13" s="21"/>
      <c r="E13" s="21"/>
      <c r="F13" s="6">
        <f t="shared" si="0"/>
        <v>0</v>
      </c>
      <c r="G13" s="6"/>
      <c r="H13" s="6">
        <f t="shared" si="2"/>
        <v>0</v>
      </c>
      <c r="I13" s="21"/>
      <c r="J13" s="21"/>
      <c r="K13" s="35">
        <v>0</v>
      </c>
      <c r="L13" s="19">
        <f t="shared" si="3"/>
        <v>0</v>
      </c>
      <c r="M13" s="19">
        <f t="shared" si="4"/>
        <v>0</v>
      </c>
    </row>
    <row r="14" spans="1:13" x14ac:dyDescent="0.25">
      <c r="A14" s="17" t="s">
        <v>14</v>
      </c>
      <c r="B14" s="21"/>
      <c r="C14" s="21"/>
      <c r="D14" s="21"/>
      <c r="E14" s="21"/>
      <c r="F14" s="6">
        <f t="shared" si="0"/>
        <v>0</v>
      </c>
      <c r="G14" s="6">
        <f t="shared" si="1"/>
        <v>0</v>
      </c>
      <c r="H14" s="6">
        <f t="shared" si="2"/>
        <v>0</v>
      </c>
      <c r="I14" s="21"/>
      <c r="J14" s="21"/>
      <c r="K14" s="35">
        <v>0</v>
      </c>
      <c r="L14" s="19">
        <f t="shared" si="3"/>
        <v>0</v>
      </c>
      <c r="M14" s="19">
        <f t="shared" si="4"/>
        <v>0</v>
      </c>
    </row>
    <row r="15" spans="1:13" x14ac:dyDescent="0.25">
      <c r="A15" s="17" t="s">
        <v>16</v>
      </c>
      <c r="B15" s="65">
        <v>2921217</v>
      </c>
      <c r="C15" s="4">
        <v>659594</v>
      </c>
      <c r="D15" s="65">
        <v>10213</v>
      </c>
      <c r="E15" s="4">
        <v>2917</v>
      </c>
      <c r="F15" s="6">
        <f>IF(D15=0,0,B15/D15)</f>
        <v>286.02927641241553</v>
      </c>
      <c r="G15" s="6">
        <f>IF(E15=0,0,C15/E15)</f>
        <v>226.12067192320879</v>
      </c>
      <c r="H15" s="6">
        <f>IF(D15+E15=0,0,(B15+C15)/(D15+E15))</f>
        <v>272.71980198019804</v>
      </c>
      <c r="I15" s="21">
        <v>2536550</v>
      </c>
      <c r="J15" s="21">
        <v>222947</v>
      </c>
      <c r="K15" s="35">
        <v>253.96</v>
      </c>
      <c r="L15" s="19">
        <f t="shared" si="3"/>
        <v>0.15164968165421538</v>
      </c>
      <c r="M15" s="19">
        <f t="shared" si="4"/>
        <v>7.3869121043463673E-2</v>
      </c>
    </row>
    <row r="16" spans="1:13" x14ac:dyDescent="0.25">
      <c r="A16" s="17" t="s">
        <v>17</v>
      </c>
      <c r="B16" s="21"/>
      <c r="C16" s="21"/>
      <c r="D16" s="21"/>
      <c r="E16" s="21"/>
      <c r="F16" s="6">
        <f t="shared" si="0"/>
        <v>0</v>
      </c>
      <c r="G16" s="6">
        <f t="shared" si="1"/>
        <v>0</v>
      </c>
      <c r="H16" s="6">
        <f t="shared" si="2"/>
        <v>0</v>
      </c>
      <c r="I16" s="21"/>
      <c r="J16" s="21"/>
      <c r="K16" s="35">
        <v>0</v>
      </c>
      <c r="L16" s="19">
        <f t="shared" si="3"/>
        <v>0</v>
      </c>
      <c r="M16" s="19">
        <f t="shared" si="4"/>
        <v>0</v>
      </c>
    </row>
    <row r="17" spans="1:13" x14ac:dyDescent="0.25">
      <c r="A17" s="17" t="s">
        <v>19</v>
      </c>
      <c r="B17" s="76">
        <v>10951895</v>
      </c>
      <c r="C17" s="87">
        <v>2009263</v>
      </c>
      <c r="D17" s="76">
        <v>40238</v>
      </c>
      <c r="E17" s="90">
        <v>9929</v>
      </c>
      <c r="F17" s="6">
        <f t="shared" si="0"/>
        <v>272.17791639743524</v>
      </c>
      <c r="G17" s="6">
        <f t="shared" si="1"/>
        <v>202.36307785275457</v>
      </c>
      <c r="H17" s="6">
        <f t="shared" si="2"/>
        <v>258.36023680905777</v>
      </c>
      <c r="I17" s="21">
        <v>7683995</v>
      </c>
      <c r="J17" s="21"/>
      <c r="K17" s="35">
        <v>282.76</v>
      </c>
      <c r="L17" s="19">
        <f t="shared" si="3"/>
        <v>0.4252865859491059</v>
      </c>
      <c r="M17" s="19">
        <f t="shared" si="4"/>
        <v>-8.6291424497603006E-2</v>
      </c>
    </row>
    <row r="18" spans="1:13" x14ac:dyDescent="0.25">
      <c r="A18" s="17" t="s">
        <v>18</v>
      </c>
      <c r="B18" s="88">
        <v>2523252.7000000002</v>
      </c>
      <c r="C18" s="81"/>
      <c r="D18" s="89">
        <v>7508.5</v>
      </c>
      <c r="E18" s="21"/>
      <c r="F18" s="6">
        <f t="shared" si="0"/>
        <v>336.05283345541721</v>
      </c>
      <c r="G18" s="6">
        <f t="shared" si="1"/>
        <v>0</v>
      </c>
      <c r="H18" s="6">
        <f t="shared" si="2"/>
        <v>336.05283345541721</v>
      </c>
      <c r="I18" s="21">
        <v>2355972</v>
      </c>
      <c r="J18" s="21"/>
      <c r="K18" s="35">
        <v>274.73</v>
      </c>
      <c r="L18" s="19">
        <f t="shared" si="3"/>
        <v>7.100283874341469E-2</v>
      </c>
      <c r="M18" s="19">
        <f t="shared" si="4"/>
        <v>0.22321127454379644</v>
      </c>
    </row>
    <row r="19" spans="1:13" s="11" customFormat="1" x14ac:dyDescent="0.25">
      <c r="A19" s="18" t="s">
        <v>20</v>
      </c>
      <c r="B19" s="64">
        <f>SUM(B7:B18)</f>
        <v>17034505.530000001</v>
      </c>
      <c r="C19" s="8">
        <f>SUM(C7:C18)</f>
        <v>2668857</v>
      </c>
      <c r="D19" s="64">
        <f>SUM(D7:D18)</f>
        <v>60014.25</v>
      </c>
      <c r="E19" s="8">
        <f>SUM(E7:E18)</f>
        <v>12846</v>
      </c>
      <c r="F19" s="9">
        <f>IF(D19=0,0,B19/D19)</f>
        <v>283.84101325935092</v>
      </c>
      <c r="G19" s="9">
        <f>IF(E19=0,0,C19/E19)</f>
        <v>207.7578234469874</v>
      </c>
      <c r="H19" s="9">
        <f>IF(D19+E19=0,0,(B19+C19)/(D19+E19))</f>
        <v>270.42677632865662</v>
      </c>
      <c r="I19" s="56">
        <f>SUM(I8:I18)</f>
        <v>14200172</v>
      </c>
      <c r="J19" s="56">
        <f>SUM(J8:J18)</f>
        <v>222947</v>
      </c>
      <c r="K19" s="36">
        <v>275.27999999999997</v>
      </c>
      <c r="L19" s="32">
        <f t="shared" ref="L19" si="5">IF(I19=0,0,(B19-I19)/I19)</f>
        <v>0.19959853514450396</v>
      </c>
      <c r="M19" s="32">
        <f t="shared" ref="M19" si="6">IF(K19=0,0,(H19-K19)/K19)</f>
        <v>-1.7630135394301649E-2</v>
      </c>
    </row>
    <row r="21" spans="1:13" ht="11.25" customHeight="1" x14ac:dyDescent="0.25"/>
    <row r="22" spans="1:13" ht="20.25" x14ac:dyDescent="0.3">
      <c r="A22" s="20" t="str">
        <f>"MÅLESTATISTIKK FOR MURERE - 2. HALVÅR "&amp;FORS!$A$14</f>
        <v>MÅLESTATISTIKK FOR MURERE - 2. HALVÅR 2016</v>
      </c>
    </row>
    <row r="23" spans="1:13" x14ac:dyDescent="0.25">
      <c r="B23" s="13"/>
      <c r="C23" s="13"/>
      <c r="D23" s="13"/>
      <c r="E23" s="13"/>
      <c r="F23" s="13"/>
      <c r="G23" s="13"/>
      <c r="H23" s="13"/>
      <c r="I23" s="13"/>
      <c r="J23" s="13"/>
      <c r="L23" s="13"/>
      <c r="M23" s="13"/>
    </row>
    <row r="24" spans="1:13" x14ac:dyDescent="0.25">
      <c r="A24" s="15"/>
      <c r="B24" s="2" t="s">
        <v>4</v>
      </c>
      <c r="C24" s="3"/>
      <c r="D24" s="2" t="s">
        <v>5</v>
      </c>
      <c r="E24" s="3"/>
      <c r="F24" s="2" t="str">
        <f>"Fortjeneste 2. halvår  "&amp;FORS!$A$14-0</f>
        <v>Fortjeneste 2. halvår  2016</v>
      </c>
      <c r="G24" s="5"/>
      <c r="H24" s="3"/>
      <c r="I24" s="2" t="str">
        <f>" 2. halvår  "&amp;FORS!$A$14-1</f>
        <v xml:space="preserve"> 2. halvår  2015</v>
      </c>
      <c r="J24" s="5"/>
      <c r="K24" s="3"/>
      <c r="L24" s="47" t="s">
        <v>29</v>
      </c>
      <c r="M24" s="3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33</v>
      </c>
      <c r="I25" s="49" t="s">
        <v>6</v>
      </c>
      <c r="J25" s="49" t="s">
        <v>6</v>
      </c>
      <c r="K25" s="50" t="s">
        <v>31</v>
      </c>
      <c r="L25" s="49" t="s">
        <v>6</v>
      </c>
      <c r="M25" s="50" t="s">
        <v>31</v>
      </c>
    </row>
    <row r="26" spans="1:13" x14ac:dyDescent="0.25">
      <c r="A26" s="52"/>
      <c r="B26" s="53" t="s">
        <v>30</v>
      </c>
      <c r="C26" s="53" t="s">
        <v>32</v>
      </c>
      <c r="D26" s="53" t="s">
        <v>30</v>
      </c>
      <c r="E26" s="53" t="s">
        <v>32</v>
      </c>
      <c r="F26" s="53" t="s">
        <v>30</v>
      </c>
      <c r="G26" s="53" t="s">
        <v>32</v>
      </c>
      <c r="H26" s="54" t="s">
        <v>34</v>
      </c>
      <c r="I26" s="53" t="s">
        <v>30</v>
      </c>
      <c r="J26" s="53" t="s">
        <v>32</v>
      </c>
      <c r="K26" s="54" t="s">
        <v>28</v>
      </c>
      <c r="L26" s="53" t="s">
        <v>30</v>
      </c>
      <c r="M26" s="54" t="s">
        <v>28</v>
      </c>
    </row>
    <row r="27" spans="1:13" ht="16.5" customHeight="1" x14ac:dyDescent="0.25">
      <c r="A27" s="16" t="s">
        <v>25</v>
      </c>
      <c r="B27" s="21"/>
      <c r="C27" s="21"/>
      <c r="D27" s="21"/>
      <c r="E27" s="21"/>
      <c r="F27" s="6">
        <f t="shared" ref="F27:F37" si="7">IF(D27=0,0,B27/D27)</f>
        <v>0</v>
      </c>
      <c r="G27" s="6">
        <f>IF(E27=0,0,C27/E27)</f>
        <v>0</v>
      </c>
      <c r="H27" s="6">
        <f>IF(D27+E27=0,0,(B27+C27)/(D27+E27))</f>
        <v>0</v>
      </c>
      <c r="I27" s="21"/>
      <c r="J27" s="21"/>
      <c r="K27" s="35">
        <v>0</v>
      </c>
      <c r="L27" s="19">
        <f>IF(I27=0,0,(B27-I27)/I27)</f>
        <v>0</v>
      </c>
      <c r="M27" s="19">
        <f>IF(K27=0,0,(H27-K27)/K27)</f>
        <v>0</v>
      </c>
    </row>
    <row r="28" spans="1:13" ht="16.5" customHeight="1" x14ac:dyDescent="0.25">
      <c r="A28" s="17" t="s">
        <v>7</v>
      </c>
      <c r="B28" s="21"/>
      <c r="C28" s="21"/>
      <c r="D28" s="21"/>
      <c r="E28" s="21"/>
      <c r="F28" s="6">
        <f t="shared" si="7"/>
        <v>0</v>
      </c>
      <c r="G28" s="6">
        <f t="shared" ref="G28:G38" si="8">IF(E28=0,0,C28/E28)</f>
        <v>0</v>
      </c>
      <c r="H28" s="6">
        <f t="shared" ref="H28:H38" si="9">IF(D28+E28=0,0,(B28+C28)/(D28+E28))</f>
        <v>0</v>
      </c>
      <c r="I28" s="21"/>
      <c r="J28" s="21"/>
      <c r="K28" s="35">
        <v>0</v>
      </c>
      <c r="L28" s="19">
        <f t="shared" ref="L28:L39" si="10">IF(I28=0,0,(B28-I28)/I28)</f>
        <v>0</v>
      </c>
      <c r="M28" s="19">
        <f t="shared" ref="M28:M39" si="11">IF(K28=0,0,(H28-K28)/K28)</f>
        <v>0</v>
      </c>
    </row>
    <row r="29" spans="1:13" ht="16.5" customHeight="1" x14ac:dyDescent="0.25">
      <c r="A29" s="17" t="s">
        <v>8</v>
      </c>
      <c r="B29" s="21"/>
      <c r="C29" s="26"/>
      <c r="D29" s="21"/>
      <c r="E29" s="21"/>
      <c r="F29" s="6">
        <f t="shared" si="7"/>
        <v>0</v>
      </c>
      <c r="G29" s="6">
        <f t="shared" si="8"/>
        <v>0</v>
      </c>
      <c r="H29" s="6">
        <f t="shared" si="9"/>
        <v>0</v>
      </c>
      <c r="I29" s="21"/>
      <c r="J29" s="26"/>
      <c r="K29" s="35">
        <v>0</v>
      </c>
      <c r="L29" s="19">
        <f t="shared" si="10"/>
        <v>0</v>
      </c>
      <c r="M29" s="19">
        <f t="shared" si="11"/>
        <v>0</v>
      </c>
    </row>
    <row r="30" spans="1:13" ht="16.5" customHeight="1" x14ac:dyDescent="0.25">
      <c r="A30" s="17" t="s">
        <v>10</v>
      </c>
      <c r="B30" s="21"/>
      <c r="C30" s="21"/>
      <c r="D30" s="21"/>
      <c r="E30" s="21"/>
      <c r="F30" s="6">
        <f t="shared" si="7"/>
        <v>0</v>
      </c>
      <c r="G30" s="6">
        <f t="shared" si="8"/>
        <v>0</v>
      </c>
      <c r="H30" s="6">
        <f t="shared" si="9"/>
        <v>0</v>
      </c>
      <c r="I30" s="21">
        <v>96909</v>
      </c>
      <c r="J30" s="21"/>
      <c r="K30" s="35">
        <v>357.73</v>
      </c>
      <c r="L30" s="19">
        <f t="shared" si="10"/>
        <v>-1</v>
      </c>
      <c r="M30" s="19">
        <f t="shared" si="11"/>
        <v>-1</v>
      </c>
    </row>
    <row r="31" spans="1:13" ht="16.5" customHeight="1" x14ac:dyDescent="0.25">
      <c r="A31" s="17" t="s">
        <v>11</v>
      </c>
      <c r="B31" s="21"/>
      <c r="C31" s="21"/>
      <c r="D31" s="21"/>
      <c r="E31" s="21"/>
      <c r="F31" s="6">
        <f t="shared" si="7"/>
        <v>0</v>
      </c>
      <c r="G31" s="6">
        <f t="shared" si="8"/>
        <v>0</v>
      </c>
      <c r="H31" s="6">
        <f t="shared" si="9"/>
        <v>0</v>
      </c>
      <c r="I31" s="21"/>
      <c r="J31" s="21"/>
      <c r="K31" s="35">
        <v>0</v>
      </c>
      <c r="L31" s="19">
        <f t="shared" si="10"/>
        <v>0</v>
      </c>
      <c r="M31" s="19">
        <f t="shared" si="11"/>
        <v>0</v>
      </c>
    </row>
    <row r="32" spans="1:13" ht="16.5" customHeight="1" x14ac:dyDescent="0.25">
      <c r="A32" s="17" t="s">
        <v>13</v>
      </c>
      <c r="B32" s="21">
        <v>566693</v>
      </c>
      <c r="C32" s="21"/>
      <c r="D32" s="21">
        <v>1718</v>
      </c>
      <c r="E32" s="21"/>
      <c r="F32" s="6">
        <f t="shared" si="7"/>
        <v>329.85622817229336</v>
      </c>
      <c r="G32" s="6">
        <f t="shared" si="8"/>
        <v>0</v>
      </c>
      <c r="H32" s="6">
        <f t="shared" si="9"/>
        <v>329.85622817229336</v>
      </c>
      <c r="I32" s="21">
        <v>961889</v>
      </c>
      <c r="J32" s="21"/>
      <c r="K32" s="35">
        <v>319.14</v>
      </c>
      <c r="L32" s="19">
        <f t="shared" si="10"/>
        <v>-0.41085405904423483</v>
      </c>
      <c r="M32" s="19">
        <f t="shared" si="11"/>
        <v>3.3578455136596387E-2</v>
      </c>
    </row>
    <row r="33" spans="1:13" ht="16.5" customHeight="1" x14ac:dyDescent="0.25">
      <c r="A33" s="17" t="s">
        <v>15</v>
      </c>
      <c r="B33" s="21"/>
      <c r="C33" s="21"/>
      <c r="D33" s="21"/>
      <c r="E33" s="21"/>
      <c r="F33" s="6">
        <f t="shared" si="7"/>
        <v>0</v>
      </c>
      <c r="G33" s="6"/>
      <c r="H33" s="6"/>
      <c r="I33" s="21"/>
      <c r="J33" s="21"/>
      <c r="K33" s="35"/>
      <c r="L33" s="19">
        <f t="shared" si="10"/>
        <v>0</v>
      </c>
      <c r="M33" s="19">
        <f t="shared" si="11"/>
        <v>0</v>
      </c>
    </row>
    <row r="34" spans="1:13" ht="16.5" customHeight="1" x14ac:dyDescent="0.25">
      <c r="A34" s="17" t="s">
        <v>14</v>
      </c>
      <c r="B34" s="21"/>
      <c r="C34" s="21"/>
      <c r="D34" s="21"/>
      <c r="E34" s="21"/>
      <c r="F34" s="6">
        <f t="shared" si="7"/>
        <v>0</v>
      </c>
      <c r="G34" s="6">
        <f t="shared" si="8"/>
        <v>0</v>
      </c>
      <c r="H34" s="6">
        <f t="shared" si="9"/>
        <v>0</v>
      </c>
      <c r="I34" s="21"/>
      <c r="J34" s="21"/>
      <c r="K34" s="35">
        <v>0</v>
      </c>
      <c r="L34" s="19">
        <f t="shared" si="10"/>
        <v>0</v>
      </c>
      <c r="M34" s="19">
        <f t="shared" si="11"/>
        <v>0</v>
      </c>
    </row>
    <row r="35" spans="1:13" ht="16.5" customHeight="1" x14ac:dyDescent="0.25">
      <c r="A35" s="17" t="s">
        <v>16</v>
      </c>
      <c r="B35" s="63">
        <v>6157046</v>
      </c>
      <c r="C35" s="21">
        <v>560080</v>
      </c>
      <c r="D35" s="21">
        <v>23189</v>
      </c>
      <c r="E35" s="21">
        <v>3282</v>
      </c>
      <c r="F35" s="6">
        <f t="shared" si="7"/>
        <v>265.51580490749927</v>
      </c>
      <c r="G35" s="6">
        <f>IF(E35=0,0,C35/E35)</f>
        <v>170.65204143814748</v>
      </c>
      <c r="H35" s="6">
        <f>IF(D35+E35=0,0,(B35+C35)/(D35+E35))</f>
        <v>253.75414604661705</v>
      </c>
      <c r="I35" s="21">
        <v>1609931</v>
      </c>
      <c r="J35" s="21"/>
      <c r="K35" s="35">
        <v>274.73</v>
      </c>
      <c r="L35" s="19">
        <f t="shared" si="10"/>
        <v>2.8244160774592202</v>
      </c>
      <c r="M35" s="19">
        <f t="shared" si="11"/>
        <v>-7.6350795156637299E-2</v>
      </c>
    </row>
    <row r="36" spans="1:13" ht="16.5" customHeight="1" x14ac:dyDescent="0.25">
      <c r="A36" s="17" t="s">
        <v>17</v>
      </c>
      <c r="B36" s="21"/>
      <c r="C36" s="21"/>
      <c r="D36" s="21"/>
      <c r="E36" s="21"/>
      <c r="F36" s="6">
        <f t="shared" si="7"/>
        <v>0</v>
      </c>
      <c r="G36" s="6">
        <f t="shared" si="8"/>
        <v>0</v>
      </c>
      <c r="H36" s="6">
        <f t="shared" si="9"/>
        <v>0</v>
      </c>
      <c r="I36" s="21"/>
      <c r="J36" s="21"/>
      <c r="K36" s="35">
        <v>0</v>
      </c>
      <c r="L36" s="19">
        <f t="shared" si="10"/>
        <v>0</v>
      </c>
      <c r="M36" s="19">
        <f t="shared" si="11"/>
        <v>0</v>
      </c>
    </row>
    <row r="37" spans="1:13" ht="16.5" customHeight="1" x14ac:dyDescent="0.25">
      <c r="A37" s="17" t="s">
        <v>19</v>
      </c>
      <c r="B37" s="76">
        <v>11959469</v>
      </c>
      <c r="C37" s="87"/>
      <c r="D37" s="132">
        <v>41401.5</v>
      </c>
      <c r="E37" s="21"/>
      <c r="F37" s="6">
        <f t="shared" si="7"/>
        <v>288.86559665712593</v>
      </c>
      <c r="G37" s="6">
        <f t="shared" si="8"/>
        <v>0</v>
      </c>
      <c r="H37" s="6">
        <f t="shared" si="9"/>
        <v>288.86559665712593</v>
      </c>
      <c r="I37" s="21">
        <v>10240692</v>
      </c>
      <c r="J37" s="21"/>
      <c r="K37" s="35">
        <v>281.82</v>
      </c>
      <c r="L37" s="19">
        <f t="shared" si="10"/>
        <v>0.1678379742306477</v>
      </c>
      <c r="M37" s="19">
        <f t="shared" si="11"/>
        <v>2.5000342974685761E-2</v>
      </c>
    </row>
    <row r="38" spans="1:13" ht="16.5" customHeight="1" x14ac:dyDescent="0.25">
      <c r="A38" s="17" t="s">
        <v>18</v>
      </c>
      <c r="B38" s="63">
        <v>705727.5</v>
      </c>
      <c r="C38" s="21"/>
      <c r="D38" s="63">
        <v>2157.5</v>
      </c>
      <c r="E38" s="21"/>
      <c r="F38" s="6">
        <f>IF(D38=0,0,B38/D38)</f>
        <v>327.10428736964082</v>
      </c>
      <c r="G38" s="6">
        <f t="shared" si="8"/>
        <v>0</v>
      </c>
      <c r="H38" s="6">
        <f t="shared" si="9"/>
        <v>327.10428736964082</v>
      </c>
      <c r="I38" s="21">
        <v>3266750</v>
      </c>
      <c r="J38" s="21"/>
      <c r="K38" s="35">
        <v>303.23</v>
      </c>
      <c r="L38" s="19">
        <f t="shared" si="10"/>
        <v>-0.78396648044692741</v>
      </c>
      <c r="M38" s="19">
        <f t="shared" si="11"/>
        <v>7.8733263099432099E-2</v>
      </c>
    </row>
    <row r="39" spans="1:13" x14ac:dyDescent="0.25">
      <c r="A39" s="18" t="s">
        <v>20</v>
      </c>
      <c r="B39" s="8"/>
      <c r="C39" s="8"/>
      <c r="D39" s="8"/>
      <c r="E39" s="8"/>
      <c r="F39" s="9">
        <f>IF(D39=0,0,B39/D39)</f>
        <v>0</v>
      </c>
      <c r="G39" s="9">
        <f>IF(E39=0,0,C39/E39)</f>
        <v>0</v>
      </c>
      <c r="H39" s="9">
        <f>IF(D39+E39=0,0,(B39+C39)/(D39+E39))</f>
        <v>0</v>
      </c>
      <c r="I39" s="56">
        <f>SUM(I27:I38)</f>
        <v>16176171</v>
      </c>
      <c r="J39" s="56">
        <v>0</v>
      </c>
      <c r="K39" s="36">
        <v>287.55</v>
      </c>
      <c r="L39" s="10">
        <f t="shared" si="10"/>
        <v>-1</v>
      </c>
      <c r="M39" s="10">
        <f t="shared" si="11"/>
        <v>-1</v>
      </c>
    </row>
    <row r="40" spans="1:13" ht="13.5" customHeight="1" x14ac:dyDescent="0.25"/>
    <row r="41" spans="1:13" ht="21" customHeight="1" x14ac:dyDescent="0.25"/>
    <row r="42" spans="1:13" ht="20.25" x14ac:dyDescent="0.3">
      <c r="A42" s="20" t="str">
        <f>"MÅLESTATISTIKK FOR MURERE - GJENNOMSNITT HELE ÅRET  "&amp;FORS!$A$14</f>
        <v>MÅLESTATISTIKK FOR MURERE - GJENNOMSNITT HELE ÅRET  2016</v>
      </c>
    </row>
    <row r="43" spans="1:13" x14ac:dyDescent="0.25">
      <c r="B43" s="13"/>
      <c r="C43" s="13"/>
      <c r="D43" s="13"/>
      <c r="E43" s="13"/>
      <c r="F43" s="13"/>
      <c r="G43" s="13"/>
      <c r="H43" s="13"/>
      <c r="I43" s="13"/>
      <c r="J43" s="13"/>
      <c r="L43" s="13"/>
      <c r="M43" s="13"/>
    </row>
    <row r="44" spans="1:13" x14ac:dyDescent="0.25">
      <c r="A44" s="15"/>
      <c r="B44" s="2" t="s">
        <v>4</v>
      </c>
      <c r="C44" s="3"/>
      <c r="D44" s="2" t="s">
        <v>5</v>
      </c>
      <c r="E44" s="3"/>
      <c r="F44" s="2" t="str">
        <f>"Fortjeneste hele  "&amp;FORS!$A$14-0</f>
        <v>Fortjeneste hele  2016</v>
      </c>
      <c r="G44" s="5"/>
      <c r="H44" s="3"/>
      <c r="I44" s="2" t="str">
        <f>" Hele året  "&amp;FORS!$A$14-1</f>
        <v xml:space="preserve"> Hele året  2015</v>
      </c>
      <c r="J44" s="5"/>
      <c r="K44" s="3"/>
      <c r="L44" s="47" t="s">
        <v>29</v>
      </c>
      <c r="M44" s="3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33</v>
      </c>
      <c r="I45" s="49" t="s">
        <v>6</v>
      </c>
      <c r="J45" s="49" t="s">
        <v>6</v>
      </c>
      <c r="K45" s="50" t="s">
        <v>31</v>
      </c>
      <c r="L45" s="49" t="s">
        <v>6</v>
      </c>
      <c r="M45" s="50" t="s">
        <v>31</v>
      </c>
    </row>
    <row r="46" spans="1:13" x14ac:dyDescent="0.25">
      <c r="A46" s="52"/>
      <c r="B46" s="53" t="s">
        <v>30</v>
      </c>
      <c r="C46" s="53" t="s">
        <v>32</v>
      </c>
      <c r="D46" s="53" t="s">
        <v>30</v>
      </c>
      <c r="E46" s="53" t="s">
        <v>32</v>
      </c>
      <c r="F46" s="53" t="s">
        <v>30</v>
      </c>
      <c r="G46" s="53" t="s">
        <v>32</v>
      </c>
      <c r="H46" s="54" t="s">
        <v>34</v>
      </c>
      <c r="I46" s="53" t="s">
        <v>30</v>
      </c>
      <c r="J46" s="53" t="s">
        <v>32</v>
      </c>
      <c r="K46" s="54" t="s">
        <v>28</v>
      </c>
      <c r="L46" s="53" t="s">
        <v>30</v>
      </c>
      <c r="M46" s="54" t="s">
        <v>28</v>
      </c>
    </row>
    <row r="47" spans="1:13" x14ac:dyDescent="0.25">
      <c r="A47" s="16" t="s">
        <v>25</v>
      </c>
      <c r="B47" s="4">
        <f>B7+B27</f>
        <v>0</v>
      </c>
      <c r="C47" s="4">
        <f t="shared" ref="C47:E47" si="12">C7+C27</f>
        <v>0</v>
      </c>
      <c r="D47" s="4">
        <f t="shared" si="12"/>
        <v>0</v>
      </c>
      <c r="E47" s="4">
        <f t="shared" si="12"/>
        <v>0</v>
      </c>
      <c r="F47" s="6">
        <f>IF(D47=0,0,B47/D47)</f>
        <v>0</v>
      </c>
      <c r="G47" s="6">
        <f>IF(E47=0,0,C47/E47)</f>
        <v>0</v>
      </c>
      <c r="H47" s="6">
        <f>IF(D47+E47=0,0,(B47+C47)/(D47+E47))</f>
        <v>0</v>
      </c>
      <c r="I47" s="55">
        <v>0</v>
      </c>
      <c r="J47" s="55">
        <v>0</v>
      </c>
      <c r="K47" s="35">
        <v>0</v>
      </c>
      <c r="L47" s="19">
        <f>IF(I47=0,0,(B47-I47)/I47)</f>
        <v>0</v>
      </c>
      <c r="M47" s="19">
        <f>IF(K47=0,0,(H47-K47)/K47)</f>
        <v>0</v>
      </c>
    </row>
    <row r="48" spans="1:13" x14ac:dyDescent="0.25">
      <c r="A48" s="17" t="s">
        <v>7</v>
      </c>
      <c r="B48" s="4">
        <f t="shared" ref="B48:E58" si="13">B8+B28</f>
        <v>79198.12</v>
      </c>
      <c r="C48" s="4">
        <f t="shared" si="13"/>
        <v>0</v>
      </c>
      <c r="D48" s="4">
        <f t="shared" si="13"/>
        <v>335.35</v>
      </c>
      <c r="E48" s="4">
        <f t="shared" si="13"/>
        <v>0</v>
      </c>
      <c r="F48" s="6">
        <f t="shared" ref="F48:F58" si="14">IF(D48=0,0,B48/D48)</f>
        <v>236.16555837185027</v>
      </c>
      <c r="G48" s="6">
        <f t="shared" ref="G48:G58" si="15">IF(E48=0,0,C48/E48)</f>
        <v>0</v>
      </c>
      <c r="H48" s="6">
        <f t="shared" ref="H48:H58" si="16">IF(D48+E48=0,0,(B48+C48)/(D48+E48))</f>
        <v>236.16555837185027</v>
      </c>
      <c r="I48" s="55">
        <v>930717</v>
      </c>
      <c r="J48" s="55">
        <v>0</v>
      </c>
      <c r="K48" s="35">
        <v>260.02999999999997</v>
      </c>
      <c r="L48" s="19">
        <f t="shared" ref="L48:L59" si="17">IF(I48=0,0,(B48-I48)/I48)</f>
        <v>-0.91490633565305024</v>
      </c>
      <c r="M48" s="19">
        <f t="shared" ref="M48:M59" si="18">IF(K48=0,0,(H48-K48)/K48)</f>
        <v>-9.1775724447754906E-2</v>
      </c>
    </row>
    <row r="49" spans="1:13" x14ac:dyDescent="0.25">
      <c r="A49" s="17" t="s">
        <v>8</v>
      </c>
      <c r="B49" s="4">
        <f t="shared" si="13"/>
        <v>0</v>
      </c>
      <c r="C49" s="4">
        <f t="shared" si="13"/>
        <v>0</v>
      </c>
      <c r="D49" s="4">
        <f t="shared" si="13"/>
        <v>0</v>
      </c>
      <c r="E49" s="4">
        <f t="shared" si="13"/>
        <v>0</v>
      </c>
      <c r="F49" s="6">
        <f t="shared" si="14"/>
        <v>0</v>
      </c>
      <c r="G49" s="6">
        <f t="shared" si="15"/>
        <v>0</v>
      </c>
      <c r="H49" s="6">
        <f t="shared" si="16"/>
        <v>0</v>
      </c>
      <c r="I49" s="55">
        <v>0</v>
      </c>
      <c r="J49" s="55">
        <v>0</v>
      </c>
      <c r="K49" s="35">
        <v>0</v>
      </c>
      <c r="L49" s="19">
        <f t="shared" si="17"/>
        <v>0</v>
      </c>
      <c r="M49" s="19">
        <f t="shared" si="18"/>
        <v>0</v>
      </c>
    </row>
    <row r="50" spans="1:13" x14ac:dyDescent="0.25">
      <c r="A50" s="17" t="s">
        <v>10</v>
      </c>
      <c r="B50" s="4">
        <f t="shared" si="13"/>
        <v>96166.71</v>
      </c>
      <c r="C50" s="4">
        <f t="shared" si="13"/>
        <v>0</v>
      </c>
      <c r="D50" s="4">
        <f t="shared" si="13"/>
        <v>226.9</v>
      </c>
      <c r="E50" s="4">
        <f t="shared" si="13"/>
        <v>0</v>
      </c>
      <c r="F50" s="6">
        <f t="shared" si="14"/>
        <v>423.82860290877039</v>
      </c>
      <c r="G50" s="6">
        <f t="shared" si="15"/>
        <v>0</v>
      </c>
      <c r="H50" s="6">
        <f t="shared" si="16"/>
        <v>423.82860290877039</v>
      </c>
      <c r="I50" s="55">
        <v>204635</v>
      </c>
      <c r="J50" s="55">
        <v>0</v>
      </c>
      <c r="K50" s="35">
        <v>377.69</v>
      </c>
      <c r="L50" s="19">
        <f t="shared" si="17"/>
        <v>-0.53005737044005174</v>
      </c>
      <c r="M50" s="19">
        <f t="shared" si="18"/>
        <v>0.12215998016566601</v>
      </c>
    </row>
    <row r="51" spans="1:13" x14ac:dyDescent="0.25">
      <c r="A51" s="17" t="s">
        <v>11</v>
      </c>
      <c r="B51" s="4">
        <f t="shared" si="13"/>
        <v>0</v>
      </c>
      <c r="C51" s="4">
        <f t="shared" si="13"/>
        <v>0</v>
      </c>
      <c r="D51" s="4">
        <f t="shared" si="13"/>
        <v>0</v>
      </c>
      <c r="E51" s="4">
        <f t="shared" si="13"/>
        <v>0</v>
      </c>
      <c r="F51" s="6">
        <f t="shared" si="14"/>
        <v>0</v>
      </c>
      <c r="G51" s="6">
        <f t="shared" si="15"/>
        <v>0</v>
      </c>
      <c r="H51" s="6">
        <f t="shared" si="16"/>
        <v>0</v>
      </c>
      <c r="I51" s="55">
        <v>0</v>
      </c>
      <c r="J51" s="55">
        <v>0</v>
      </c>
      <c r="K51" s="35">
        <v>0</v>
      </c>
      <c r="L51" s="19">
        <f t="shared" si="17"/>
        <v>0</v>
      </c>
      <c r="M51" s="19">
        <f t="shared" si="18"/>
        <v>0</v>
      </c>
    </row>
    <row r="52" spans="1:13" x14ac:dyDescent="0.25">
      <c r="A52" s="17" t="s">
        <v>13</v>
      </c>
      <c r="B52" s="4">
        <f t="shared" si="13"/>
        <v>1029469</v>
      </c>
      <c r="C52" s="4">
        <f t="shared" si="13"/>
        <v>0</v>
      </c>
      <c r="D52" s="4">
        <f t="shared" si="13"/>
        <v>3210.5</v>
      </c>
      <c r="E52" s="4">
        <f t="shared" si="13"/>
        <v>0</v>
      </c>
      <c r="F52" s="6">
        <f t="shared" si="14"/>
        <v>320.65690702382807</v>
      </c>
      <c r="G52" s="6">
        <f t="shared" si="15"/>
        <v>0</v>
      </c>
      <c r="H52" s="6">
        <f t="shared" si="16"/>
        <v>320.65690702382807</v>
      </c>
      <c r="I52" s="55">
        <v>1547101</v>
      </c>
      <c r="J52" s="55">
        <v>0</v>
      </c>
      <c r="K52" s="35">
        <v>313.08</v>
      </c>
      <c r="L52" s="19">
        <f t="shared" si="17"/>
        <v>-0.33458190512448766</v>
      </c>
      <c r="M52" s="19">
        <f t="shared" si="18"/>
        <v>2.4201185076747428E-2</v>
      </c>
    </row>
    <row r="53" spans="1:13" x14ac:dyDescent="0.25">
      <c r="A53" s="17" t="s">
        <v>15</v>
      </c>
      <c r="B53" s="4">
        <f t="shared" si="13"/>
        <v>0</v>
      </c>
      <c r="C53" s="4">
        <f t="shared" si="13"/>
        <v>0</v>
      </c>
      <c r="D53" s="4">
        <f t="shared" si="13"/>
        <v>0</v>
      </c>
      <c r="E53" s="4">
        <f t="shared" si="13"/>
        <v>0</v>
      </c>
      <c r="F53" s="6">
        <f t="shared" si="14"/>
        <v>0</v>
      </c>
      <c r="G53" s="6">
        <f t="shared" si="15"/>
        <v>0</v>
      </c>
      <c r="H53" s="6">
        <f t="shared" si="16"/>
        <v>0</v>
      </c>
      <c r="I53" s="55">
        <v>0</v>
      </c>
      <c r="J53" s="55">
        <v>0</v>
      </c>
      <c r="K53" s="35">
        <v>0</v>
      </c>
      <c r="L53" s="19">
        <f t="shared" si="17"/>
        <v>0</v>
      </c>
      <c r="M53" s="19">
        <f t="shared" si="18"/>
        <v>0</v>
      </c>
    </row>
    <row r="54" spans="1:13" x14ac:dyDescent="0.25">
      <c r="A54" s="17" t="s">
        <v>14</v>
      </c>
      <c r="B54" s="4">
        <f t="shared" si="13"/>
        <v>0</v>
      </c>
      <c r="C54" s="4">
        <f t="shared" si="13"/>
        <v>0</v>
      </c>
      <c r="D54" s="4">
        <f t="shared" si="13"/>
        <v>0</v>
      </c>
      <c r="E54" s="4">
        <f t="shared" si="13"/>
        <v>0</v>
      </c>
      <c r="F54" s="6">
        <f t="shared" si="14"/>
        <v>0</v>
      </c>
      <c r="G54" s="6">
        <f t="shared" si="15"/>
        <v>0</v>
      </c>
      <c r="H54" s="6">
        <f t="shared" si="16"/>
        <v>0</v>
      </c>
      <c r="I54" s="55">
        <v>0</v>
      </c>
      <c r="J54" s="55">
        <v>0</v>
      </c>
      <c r="K54" s="35">
        <v>0</v>
      </c>
      <c r="L54" s="19">
        <f t="shared" si="17"/>
        <v>0</v>
      </c>
      <c r="M54" s="19">
        <f t="shared" si="18"/>
        <v>0</v>
      </c>
    </row>
    <row r="55" spans="1:13" x14ac:dyDescent="0.25">
      <c r="A55" s="17" t="s">
        <v>16</v>
      </c>
      <c r="B55" s="4">
        <f t="shared" si="13"/>
        <v>9078263</v>
      </c>
      <c r="C55" s="4">
        <f t="shared" si="13"/>
        <v>1219674</v>
      </c>
      <c r="D55" s="4">
        <f t="shared" si="13"/>
        <v>33402</v>
      </c>
      <c r="E55" s="4">
        <f t="shared" si="13"/>
        <v>6199</v>
      </c>
      <c r="F55" s="6">
        <f t="shared" si="14"/>
        <v>271.78800670618529</v>
      </c>
      <c r="G55" s="6">
        <f>IF(E55=0,0,C55/E55)</f>
        <v>196.75334731408293</v>
      </c>
      <c r="H55" s="6">
        <f>IF(D55+E55=0,0,(B55+C55)/(D55+E55))</f>
        <v>260.04234741546929</v>
      </c>
      <c r="I55" s="55">
        <v>4146481</v>
      </c>
      <c r="J55" s="55">
        <v>222947</v>
      </c>
      <c r="K55" s="35">
        <v>261.24</v>
      </c>
      <c r="L55" s="19">
        <f t="shared" si="17"/>
        <v>1.1893897500072954</v>
      </c>
      <c r="M55" s="19">
        <f t="shared" si="18"/>
        <v>-4.5844915959681329E-3</v>
      </c>
    </row>
    <row r="56" spans="1:13" x14ac:dyDescent="0.25">
      <c r="A56" s="17" t="s">
        <v>17</v>
      </c>
      <c r="B56" s="4">
        <f t="shared" si="13"/>
        <v>0</v>
      </c>
      <c r="C56" s="4">
        <f t="shared" si="13"/>
        <v>0</v>
      </c>
      <c r="D56" s="4">
        <f t="shared" si="13"/>
        <v>0</v>
      </c>
      <c r="E56" s="4">
        <f t="shared" si="13"/>
        <v>0</v>
      </c>
      <c r="F56" s="6">
        <f t="shared" si="14"/>
        <v>0</v>
      </c>
      <c r="G56" s="6">
        <f t="shared" si="15"/>
        <v>0</v>
      </c>
      <c r="H56" s="6">
        <f t="shared" si="16"/>
        <v>0</v>
      </c>
      <c r="I56" s="55">
        <v>0</v>
      </c>
      <c r="J56" s="55">
        <v>0</v>
      </c>
      <c r="K56" s="35">
        <v>0</v>
      </c>
      <c r="L56" s="19">
        <f t="shared" si="17"/>
        <v>0</v>
      </c>
      <c r="M56" s="19">
        <f t="shared" si="18"/>
        <v>0</v>
      </c>
    </row>
    <row r="57" spans="1:13" x14ac:dyDescent="0.25">
      <c r="A57" s="17" t="s">
        <v>19</v>
      </c>
      <c r="B57" s="4">
        <f t="shared" si="13"/>
        <v>22911364</v>
      </c>
      <c r="C57" s="4">
        <f t="shared" si="13"/>
        <v>2009263</v>
      </c>
      <c r="D57" s="4">
        <f t="shared" si="13"/>
        <v>81639.5</v>
      </c>
      <c r="E57" s="4">
        <f t="shared" si="13"/>
        <v>9929</v>
      </c>
      <c r="F57" s="6">
        <f t="shared" si="14"/>
        <v>280.6406702637816</v>
      </c>
      <c r="G57" s="6">
        <f t="shared" si="15"/>
        <v>202.36307785275457</v>
      </c>
      <c r="H57" s="6">
        <f t="shared" si="16"/>
        <v>272.15283640116417</v>
      </c>
      <c r="I57" s="55">
        <v>17924687</v>
      </c>
      <c r="J57" s="55">
        <v>0</v>
      </c>
      <c r="K57" s="35">
        <v>282.22000000000003</v>
      </c>
      <c r="L57" s="19">
        <f t="shared" si="17"/>
        <v>0.27820162215384847</v>
      </c>
      <c r="M57" s="19">
        <f t="shared" si="18"/>
        <v>-3.5671332998497132E-2</v>
      </c>
    </row>
    <row r="58" spans="1:13" x14ac:dyDescent="0.25">
      <c r="A58" s="17" t="s">
        <v>18</v>
      </c>
      <c r="B58" s="4">
        <f>B18+B38</f>
        <v>3228980.2</v>
      </c>
      <c r="C58" s="4">
        <f t="shared" si="13"/>
        <v>0</v>
      </c>
      <c r="D58" s="4">
        <f t="shared" si="13"/>
        <v>9666</v>
      </c>
      <c r="E58" s="4">
        <f t="shared" si="13"/>
        <v>0</v>
      </c>
      <c r="F58" s="6">
        <f t="shared" si="14"/>
        <v>334.05547279122698</v>
      </c>
      <c r="G58" s="6">
        <f t="shared" si="15"/>
        <v>0</v>
      </c>
      <c r="H58" s="6">
        <f t="shared" si="16"/>
        <v>334.05547279122698</v>
      </c>
      <c r="I58" s="55">
        <v>5622722</v>
      </c>
      <c r="J58" s="55">
        <v>0</v>
      </c>
      <c r="K58" s="35">
        <v>290.60000000000002</v>
      </c>
      <c r="L58" s="19">
        <f t="shared" si="17"/>
        <v>-0.42572650755274755</v>
      </c>
      <c r="M58" s="19">
        <f t="shared" si="18"/>
        <v>0.14953707085762888</v>
      </c>
    </row>
    <row r="59" spans="1:13" x14ac:dyDescent="0.25">
      <c r="A59" s="18" t="s">
        <v>20</v>
      </c>
      <c r="B59" s="8">
        <f>SUM(B47:B58)</f>
        <v>36423441.030000001</v>
      </c>
      <c r="C59" s="8">
        <f>SUM(C47:C58)</f>
        <v>3228937</v>
      </c>
      <c r="D59" s="8">
        <f>SUM(D47:D58)</f>
        <v>128480.25</v>
      </c>
      <c r="E59" s="8">
        <f>SUM(E47:E58)</f>
        <v>16128</v>
      </c>
      <c r="F59" s="9">
        <f>IF(D59=0,0,B59/D59)</f>
        <v>283.49447506523376</v>
      </c>
      <c r="G59" s="9">
        <f>IF(E59=0,0,C59/E59)</f>
        <v>200.20690724206349</v>
      </c>
      <c r="H59" s="9">
        <f>IF(D59+E59=0,0,(B59+C59)/(D59+E59))</f>
        <v>274.2055036970574</v>
      </c>
      <c r="I59" s="56">
        <f>SUM(I48:I58)</f>
        <v>30376343</v>
      </c>
      <c r="J59" s="56">
        <f>SUM(J47:J58)</f>
        <v>222947</v>
      </c>
      <c r="K59" s="36">
        <v>281.63</v>
      </c>
      <c r="L59" s="32">
        <f t="shared" si="17"/>
        <v>0.1990726148305608</v>
      </c>
      <c r="M59" s="32">
        <f t="shared" si="18"/>
        <v>-2.636259028847282E-2</v>
      </c>
    </row>
  </sheetData>
  <phoneticPr fontId="0" type="noConversion"/>
  <pageMargins left="0.59055118110236227" right="0.75" top="0.98425196850393704" bottom="4.1338582677165361" header="0.51181102362204722" footer="0.51181102362204722"/>
  <pageSetup paperSize="9" scale="72" fitToHeight="3" orientation="landscape" r:id="rId1"/>
  <headerFooter alignWithMargins="0">
    <oddFooter>&amp;L&amp;9FORH.AVD./&amp;D/&amp;T/&amp;F</oddFooter>
  </headerFooter>
  <rowBreaks count="2" manualBreakCount="2">
    <brk id="21" max="16383" man="1"/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showZeros="0" zoomScale="84" zoomScaleNormal="84" workbookViewId="0">
      <selection activeCell="L29" sqref="L29:M32"/>
    </sheetView>
  </sheetViews>
  <sheetFormatPr baseColWidth="10" defaultColWidth="9" defaultRowHeight="15.75" x14ac:dyDescent="0.25"/>
  <cols>
    <col min="1" max="1" width="18.75" style="14" customWidth="1"/>
    <col min="2" max="5" width="11.75" customWidth="1"/>
    <col min="6" max="8" width="9.25" customWidth="1"/>
    <col min="9" max="9" width="10.375" customWidth="1"/>
    <col min="10" max="13" width="9.25" customWidth="1"/>
  </cols>
  <sheetData>
    <row r="2" spans="1:13" ht="20.25" x14ac:dyDescent="0.3">
      <c r="A2" s="20" t="str">
        <f>"MÅLESTATISTIKK FOR BLIKK- OG VENTILASJONSARBEID - 1. HALVÅR "&amp;FORS!$A$14</f>
        <v>MÅLESTATISTIKK FOR BLIKK- OG VENTILASJONSARBEID - 1. HALVÅR 2016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2016</v>
      </c>
      <c r="G4" s="5"/>
      <c r="H4" s="3"/>
      <c r="I4" s="2" t="str">
        <f>" 1. halvår  "&amp;FORS!$A$14-1</f>
        <v xml:space="preserve"> 1. halvår  2015</v>
      </c>
      <c r="J4" s="5"/>
      <c r="K4" s="3"/>
      <c r="L4" s="47" t="s">
        <v>29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33</v>
      </c>
      <c r="I5" s="49" t="s">
        <v>6</v>
      </c>
      <c r="J5" s="49" t="s">
        <v>6</v>
      </c>
      <c r="K5" s="50" t="s">
        <v>31</v>
      </c>
      <c r="L5" s="49" t="s">
        <v>6</v>
      </c>
      <c r="M5" s="50" t="s">
        <v>31</v>
      </c>
    </row>
    <row r="6" spans="1:13" x14ac:dyDescent="0.25">
      <c r="A6" s="52"/>
      <c r="B6" s="53" t="s">
        <v>30</v>
      </c>
      <c r="C6" s="53" t="s">
        <v>32</v>
      </c>
      <c r="D6" s="53" t="s">
        <v>30</v>
      </c>
      <c r="E6" s="53" t="s">
        <v>32</v>
      </c>
      <c r="F6" s="53" t="s">
        <v>30</v>
      </c>
      <c r="G6" s="53" t="s">
        <v>32</v>
      </c>
      <c r="H6" s="54" t="s">
        <v>34</v>
      </c>
      <c r="I6" s="53" t="s">
        <v>30</v>
      </c>
      <c r="J6" s="53" t="s">
        <v>32</v>
      </c>
      <c r="K6" s="54" t="s">
        <v>28</v>
      </c>
      <c r="L6" s="53" t="s">
        <v>30</v>
      </c>
      <c r="M6" s="54" t="s">
        <v>28</v>
      </c>
    </row>
    <row r="7" spans="1:13" x14ac:dyDescent="0.25">
      <c r="A7" s="17" t="s">
        <v>11</v>
      </c>
      <c r="B7" s="21"/>
      <c r="C7" s="21"/>
      <c r="D7" s="21"/>
      <c r="E7" s="21"/>
      <c r="F7" s="6">
        <f t="shared" ref="F7:G10" si="0">IF(D7=0,0,B7/D7)</f>
        <v>0</v>
      </c>
      <c r="G7" s="6">
        <f t="shared" si="0"/>
        <v>0</v>
      </c>
      <c r="H7" s="6">
        <f>IF(D7+E7=0,0,(B7+C7)/(D7+E7))</f>
        <v>0</v>
      </c>
      <c r="I7" s="21"/>
      <c r="J7" s="21"/>
      <c r="K7" s="6"/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13</v>
      </c>
      <c r="B8" s="21"/>
      <c r="C8" s="21"/>
      <c r="D8" s="21"/>
      <c r="E8" s="21"/>
      <c r="F8" s="6"/>
      <c r="G8" s="6">
        <f t="shared" si="0"/>
        <v>0</v>
      </c>
      <c r="H8" s="6">
        <f>IF(D8+E8=0,0,(B8+C8)/(D8+E8))</f>
        <v>0</v>
      </c>
      <c r="I8" s="21"/>
      <c r="J8" s="21"/>
      <c r="K8" s="6"/>
      <c r="L8" s="19">
        <f t="shared" ref="L8:L13" si="1">IF(I8=0,0,(B8-I8)/I8)</f>
        <v>0</v>
      </c>
      <c r="M8" s="19">
        <f t="shared" ref="M8:M13" si="2">IF(K8=0,0,(H8-K8)/K8)</f>
        <v>0</v>
      </c>
    </row>
    <row r="9" spans="1:13" x14ac:dyDescent="0.25">
      <c r="A9" s="17" t="s">
        <v>19</v>
      </c>
      <c r="B9" s="21"/>
      <c r="C9" s="21"/>
      <c r="D9" s="21"/>
      <c r="E9" s="21"/>
      <c r="F9" s="6"/>
      <c r="G9" s="6">
        <f t="shared" si="0"/>
        <v>0</v>
      </c>
      <c r="H9" s="6">
        <f>IF(D9+E9=0,0,(B9+C9)/(D9+E9))</f>
        <v>0</v>
      </c>
      <c r="I9" s="21"/>
      <c r="J9" s="21"/>
      <c r="K9" s="6"/>
      <c r="L9" s="19">
        <f t="shared" si="1"/>
        <v>0</v>
      </c>
      <c r="M9" s="19">
        <f t="shared" si="2"/>
        <v>0</v>
      </c>
    </row>
    <row r="10" spans="1:13" s="11" customFormat="1" x14ac:dyDescent="0.25">
      <c r="A10" s="18" t="s">
        <v>20</v>
      </c>
      <c r="B10" s="8">
        <f>SUM(B7:B9)</f>
        <v>0</v>
      </c>
      <c r="C10" s="8">
        <f>SUM(C7:C9)</f>
        <v>0</v>
      </c>
      <c r="D10" s="8">
        <f>SUM(D7:D9)</f>
        <v>0</v>
      </c>
      <c r="E10" s="8">
        <f>SUM(E7:E9)</f>
        <v>0</v>
      </c>
      <c r="F10" s="9">
        <f t="shared" si="0"/>
        <v>0</v>
      </c>
      <c r="G10" s="9">
        <f t="shared" si="0"/>
        <v>0</v>
      </c>
      <c r="H10" s="9">
        <f>IF(D10+E10=0,0,(B10+C10)/(D10+E10))</f>
        <v>0</v>
      </c>
      <c r="I10" s="29"/>
      <c r="J10" s="29"/>
      <c r="K10" s="31"/>
      <c r="L10" s="10">
        <f t="shared" si="1"/>
        <v>0</v>
      </c>
      <c r="M10" s="19">
        <f t="shared" si="2"/>
        <v>0</v>
      </c>
    </row>
    <row r="11" spans="1:13" x14ac:dyDescent="0.25">
      <c r="L11" s="58">
        <f t="shared" si="1"/>
        <v>0</v>
      </c>
      <c r="M11" s="58">
        <f t="shared" si="2"/>
        <v>0</v>
      </c>
    </row>
    <row r="12" spans="1:13" x14ac:dyDescent="0.25">
      <c r="L12" s="58">
        <f t="shared" si="1"/>
        <v>0</v>
      </c>
      <c r="M12" s="58">
        <f t="shared" si="2"/>
        <v>0</v>
      </c>
    </row>
    <row r="13" spans="1:13" ht="20.25" x14ac:dyDescent="0.3">
      <c r="A13" s="20" t="str">
        <f>"MÅLESTATISTIKK FOR BLIKK- OG VENTILASJONSARBEID - 2. HALVÅR "&amp;FORS!$A$14</f>
        <v>MÅLESTATISTIKK FOR BLIKK- OG VENTILASJONSARBEID - 2. HALVÅR 2016</v>
      </c>
      <c r="L13" s="58">
        <f t="shared" si="1"/>
        <v>0</v>
      </c>
      <c r="M13" s="58">
        <f t="shared" si="2"/>
        <v>0</v>
      </c>
    </row>
    <row r="14" spans="1:13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5">
      <c r="A15" s="15"/>
      <c r="B15" s="2" t="s">
        <v>4</v>
      </c>
      <c r="C15" s="3"/>
      <c r="D15" s="2" t="s">
        <v>5</v>
      </c>
      <c r="E15" s="3"/>
      <c r="F15" s="2" t="str">
        <f>"Fortjeneste 2. halvår  "&amp;FORS!$A$14-0</f>
        <v>Fortjeneste 2. halvår  2016</v>
      </c>
      <c r="G15" s="5"/>
      <c r="H15" s="3"/>
      <c r="I15" s="2" t="str">
        <f>" 2. halvår  "&amp;FORS!$A$14-1</f>
        <v xml:space="preserve"> 2. halvår  2015</v>
      </c>
      <c r="J15" s="5"/>
      <c r="K15" s="3"/>
      <c r="L15" s="47" t="s">
        <v>29</v>
      </c>
      <c r="M15" s="3"/>
    </row>
    <row r="16" spans="1:13" x14ac:dyDescent="0.25">
      <c r="A16" s="48"/>
      <c r="B16" s="49" t="s">
        <v>6</v>
      </c>
      <c r="C16" s="49" t="s">
        <v>6</v>
      </c>
      <c r="D16" s="49" t="s">
        <v>6</v>
      </c>
      <c r="E16" s="49" t="s">
        <v>6</v>
      </c>
      <c r="F16" s="49" t="s">
        <v>6</v>
      </c>
      <c r="G16" s="49" t="s">
        <v>6</v>
      </c>
      <c r="H16" s="50" t="s">
        <v>33</v>
      </c>
      <c r="I16" s="49" t="s">
        <v>6</v>
      </c>
      <c r="J16" s="49" t="s">
        <v>6</v>
      </c>
      <c r="K16" s="50" t="s">
        <v>31</v>
      </c>
      <c r="L16" s="49" t="s">
        <v>6</v>
      </c>
      <c r="M16" s="50" t="s">
        <v>31</v>
      </c>
    </row>
    <row r="17" spans="1:13" x14ac:dyDescent="0.25">
      <c r="A17" s="52"/>
      <c r="B17" s="53" t="s">
        <v>30</v>
      </c>
      <c r="C17" s="53" t="s">
        <v>32</v>
      </c>
      <c r="D17" s="53" t="s">
        <v>30</v>
      </c>
      <c r="E17" s="53" t="s">
        <v>32</v>
      </c>
      <c r="F17" s="53" t="s">
        <v>30</v>
      </c>
      <c r="G17" s="53" t="s">
        <v>32</v>
      </c>
      <c r="H17" s="54" t="s">
        <v>34</v>
      </c>
      <c r="I17" s="53" t="s">
        <v>30</v>
      </c>
      <c r="J17" s="53" t="s">
        <v>32</v>
      </c>
      <c r="K17" s="54" t="s">
        <v>28</v>
      </c>
      <c r="L17" s="53" t="s">
        <v>30</v>
      </c>
      <c r="M17" s="54" t="s">
        <v>28</v>
      </c>
    </row>
    <row r="18" spans="1:13" x14ac:dyDescent="0.25">
      <c r="A18" s="17" t="s">
        <v>11</v>
      </c>
      <c r="B18" s="21"/>
      <c r="C18" s="21"/>
      <c r="D18" s="21"/>
      <c r="E18" s="21"/>
      <c r="F18" s="6">
        <f t="shared" ref="F18:G21" si="3">IF(D18=0,0,B18/D18)</f>
        <v>0</v>
      </c>
      <c r="G18" s="6">
        <f t="shared" si="3"/>
        <v>0</v>
      </c>
      <c r="H18" s="6">
        <f>IF(D18+E18=0,0,(B18+C18)/(D18+E18))</f>
        <v>0</v>
      </c>
      <c r="I18" s="21"/>
      <c r="J18" s="21"/>
      <c r="K18" s="6"/>
      <c r="L18" s="19">
        <f>IF(I18=0,0,(B18-I18)/I18)</f>
        <v>0</v>
      </c>
      <c r="M18" s="19">
        <f>IF(K18=0,0,(H18-K18)/K18)</f>
        <v>0</v>
      </c>
    </row>
    <row r="19" spans="1:13" x14ac:dyDescent="0.25">
      <c r="A19" s="17" t="s">
        <v>13</v>
      </c>
      <c r="B19" s="21"/>
      <c r="C19" s="21"/>
      <c r="D19" s="21"/>
      <c r="E19" s="21"/>
      <c r="F19" s="6">
        <f t="shared" si="3"/>
        <v>0</v>
      </c>
      <c r="G19" s="6">
        <f t="shared" si="3"/>
        <v>0</v>
      </c>
      <c r="H19" s="6">
        <f>IF(D19+E19=0,0,(B19+C19)/(D19+E19))</f>
        <v>0</v>
      </c>
      <c r="I19" s="21"/>
      <c r="J19" s="21"/>
      <c r="K19" s="6"/>
      <c r="L19" s="19">
        <f t="shared" ref="L19:L21" si="4">IF(I19=0,0,(B19-I19)/I19)</f>
        <v>0</v>
      </c>
      <c r="M19" s="19">
        <f t="shared" ref="M19:M21" si="5">IF(K19=0,0,(H19-K19)/K19)</f>
        <v>0</v>
      </c>
    </row>
    <row r="20" spans="1:13" x14ac:dyDescent="0.25">
      <c r="A20" s="17" t="s">
        <v>19</v>
      </c>
      <c r="B20" s="21"/>
      <c r="C20" s="21"/>
      <c r="D20" s="21"/>
      <c r="E20" s="21"/>
      <c r="F20" s="6">
        <f t="shared" si="3"/>
        <v>0</v>
      </c>
      <c r="G20" s="6">
        <f t="shared" si="3"/>
        <v>0</v>
      </c>
      <c r="H20" s="6">
        <f>IF(D20+E20=0,0,(B20+C20)/(D20+E20))</f>
        <v>0</v>
      </c>
      <c r="I20" s="21"/>
      <c r="J20" s="21"/>
      <c r="K20" s="6"/>
      <c r="L20" s="19">
        <f t="shared" si="4"/>
        <v>0</v>
      </c>
      <c r="M20" s="19">
        <f t="shared" si="5"/>
        <v>0</v>
      </c>
    </row>
    <row r="21" spans="1:13" x14ac:dyDescent="0.25">
      <c r="A21" s="18" t="s">
        <v>20</v>
      </c>
      <c r="B21" s="41">
        <f>SUM(B18:B20)</f>
        <v>0</v>
      </c>
      <c r="C21" s="41">
        <f>SUM(C18:C20)</f>
        <v>0</v>
      </c>
      <c r="D21" s="41">
        <f>SUM(D18:D20)</f>
        <v>0</v>
      </c>
      <c r="E21" s="41">
        <f>SUM(C18:C20)</f>
        <v>0</v>
      </c>
      <c r="F21" s="9">
        <f t="shared" si="3"/>
        <v>0</v>
      </c>
      <c r="G21" s="9">
        <f t="shared" si="3"/>
        <v>0</v>
      </c>
      <c r="H21" s="9">
        <f>IF(D21+E21=0,0,(B21+C21)/(D21+E21))</f>
        <v>0</v>
      </c>
      <c r="I21" s="33"/>
      <c r="J21" s="33"/>
      <c r="K21" s="31"/>
      <c r="L21" s="32">
        <f t="shared" si="4"/>
        <v>0</v>
      </c>
      <c r="M21" s="32">
        <f t="shared" si="5"/>
        <v>0</v>
      </c>
    </row>
    <row r="24" spans="1:13" ht="20.25" x14ac:dyDescent="0.3">
      <c r="A24" s="20" t="str">
        <f>"MÅLESTATISTIKK FOR BLIKK- OG VENTILASJONSARBEID - GJENNOMSNITT HELE ÅRET  "&amp;FORS!$A$14</f>
        <v>MÅLESTATISTIKK FOR BLIKK- OG VENTILASJONSARBEID - GJENNOMSNITT HELE ÅRET  2016</v>
      </c>
    </row>
    <row r="25" spans="1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5"/>
      <c r="B26" s="2" t="s">
        <v>4</v>
      </c>
      <c r="C26" s="3"/>
      <c r="D26" s="2" t="s">
        <v>5</v>
      </c>
      <c r="E26" s="3"/>
      <c r="F26" s="2" t="str">
        <f>"Fortjeneste hele  "&amp;FORS!$A$14-0</f>
        <v>Fortjeneste hele  2016</v>
      </c>
      <c r="G26" s="5"/>
      <c r="H26" s="3"/>
      <c r="I26" s="2" t="str">
        <f>" Hele året  "&amp;FORS!$A$14-1</f>
        <v xml:space="preserve"> Hele året  2015</v>
      </c>
      <c r="J26" s="5"/>
      <c r="K26" s="3"/>
      <c r="L26" s="47" t="s">
        <v>29</v>
      </c>
      <c r="M26" s="3"/>
    </row>
    <row r="27" spans="1:13" x14ac:dyDescent="0.25">
      <c r="A27" s="48"/>
      <c r="B27" s="49" t="s">
        <v>6</v>
      </c>
      <c r="C27" s="49" t="s">
        <v>6</v>
      </c>
      <c r="D27" s="49" t="s">
        <v>6</v>
      </c>
      <c r="E27" s="49" t="s">
        <v>6</v>
      </c>
      <c r="F27" s="49" t="s">
        <v>6</v>
      </c>
      <c r="G27" s="49" t="s">
        <v>6</v>
      </c>
      <c r="H27" s="50" t="s">
        <v>33</v>
      </c>
      <c r="I27" s="49" t="s">
        <v>6</v>
      </c>
      <c r="J27" s="49" t="s">
        <v>6</v>
      </c>
      <c r="K27" s="50" t="s">
        <v>31</v>
      </c>
      <c r="L27" s="49" t="s">
        <v>6</v>
      </c>
      <c r="M27" s="50" t="s">
        <v>31</v>
      </c>
    </row>
    <row r="28" spans="1:13" x14ac:dyDescent="0.25">
      <c r="A28" s="52"/>
      <c r="B28" s="53" t="s">
        <v>30</v>
      </c>
      <c r="C28" s="53" t="s">
        <v>32</v>
      </c>
      <c r="D28" s="53" t="s">
        <v>30</v>
      </c>
      <c r="E28" s="53" t="s">
        <v>32</v>
      </c>
      <c r="F28" s="53" t="s">
        <v>30</v>
      </c>
      <c r="G28" s="53" t="s">
        <v>32</v>
      </c>
      <c r="H28" s="54" t="s">
        <v>34</v>
      </c>
      <c r="I28" s="53" t="s">
        <v>30</v>
      </c>
      <c r="J28" s="53" t="s">
        <v>32</v>
      </c>
      <c r="K28" s="54" t="s">
        <v>28</v>
      </c>
      <c r="L28" s="53" t="s">
        <v>30</v>
      </c>
      <c r="M28" s="54" t="s">
        <v>28</v>
      </c>
    </row>
    <row r="29" spans="1:13" x14ac:dyDescent="0.25">
      <c r="A29" s="17" t="s">
        <v>11</v>
      </c>
      <c r="B29" s="4">
        <f t="shared" ref="B29:E31" si="6">B7+B18</f>
        <v>0</v>
      </c>
      <c r="C29" s="4">
        <f t="shared" si="6"/>
        <v>0</v>
      </c>
      <c r="D29" s="4">
        <f t="shared" si="6"/>
        <v>0</v>
      </c>
      <c r="E29" s="4">
        <f t="shared" si="6"/>
        <v>0</v>
      </c>
      <c r="F29" s="6">
        <f t="shared" ref="F29:G32" si="7">IF(D29=0,0,B29/D29)</f>
        <v>0</v>
      </c>
      <c r="G29" s="6">
        <f t="shared" si="7"/>
        <v>0</v>
      </c>
      <c r="H29" s="6">
        <f>IF(D29+E29=0,0,(B29+C29)/(D29+E29))</f>
        <v>0</v>
      </c>
      <c r="I29" s="39"/>
      <c r="J29" s="6"/>
      <c r="K29" s="6"/>
      <c r="L29" s="19">
        <f>IF(I29=0,0,(B29-I29)/I29)</f>
        <v>0</v>
      </c>
      <c r="M29" s="19">
        <f>IF(K29=0,0,(H29-K29)/K29)</f>
        <v>0</v>
      </c>
    </row>
    <row r="30" spans="1:13" x14ac:dyDescent="0.25">
      <c r="A30" s="17" t="s">
        <v>13</v>
      </c>
      <c r="B30" s="4">
        <f t="shared" si="6"/>
        <v>0</v>
      </c>
      <c r="C30" s="4">
        <f t="shared" si="6"/>
        <v>0</v>
      </c>
      <c r="D30" s="4">
        <f t="shared" si="6"/>
        <v>0</v>
      </c>
      <c r="E30" s="4">
        <f t="shared" si="6"/>
        <v>0</v>
      </c>
      <c r="F30" s="6">
        <f t="shared" si="7"/>
        <v>0</v>
      </c>
      <c r="G30" s="6">
        <f t="shared" si="7"/>
        <v>0</v>
      </c>
      <c r="H30" s="6">
        <f>IF(D30+E30=0,0,(B30+C30)/(D30+E30))</f>
        <v>0</v>
      </c>
      <c r="I30" s="24"/>
      <c r="J30" s="6"/>
      <c r="K30" s="6"/>
      <c r="L30" s="19">
        <f t="shared" ref="L30:L32" si="8">IF(I30=0,0,(B30-I30)/I30)</f>
        <v>0</v>
      </c>
      <c r="M30" s="19">
        <f t="shared" ref="M30:M32" si="9">IF(K30=0,0,(H30-K30)/K30)</f>
        <v>0</v>
      </c>
    </row>
    <row r="31" spans="1:13" x14ac:dyDescent="0.25">
      <c r="A31" s="17" t="s">
        <v>19</v>
      </c>
      <c r="B31" s="4">
        <f t="shared" si="6"/>
        <v>0</v>
      </c>
      <c r="C31" s="4">
        <f t="shared" si="6"/>
        <v>0</v>
      </c>
      <c r="D31" s="4">
        <f t="shared" si="6"/>
        <v>0</v>
      </c>
      <c r="E31" s="4">
        <f t="shared" si="6"/>
        <v>0</v>
      </c>
      <c r="F31" s="6">
        <f t="shared" si="7"/>
        <v>0</v>
      </c>
      <c r="G31" s="6">
        <f t="shared" si="7"/>
        <v>0</v>
      </c>
      <c r="H31" s="6">
        <f>IF(D31+E31=0,0,(B31+C31)/(D31+E31))</f>
        <v>0</v>
      </c>
      <c r="I31" s="24"/>
      <c r="J31" s="6"/>
      <c r="K31" s="6"/>
      <c r="L31" s="19">
        <f t="shared" si="8"/>
        <v>0</v>
      </c>
      <c r="M31" s="19">
        <f t="shared" si="9"/>
        <v>0</v>
      </c>
    </row>
    <row r="32" spans="1:13" x14ac:dyDescent="0.25">
      <c r="A32" s="18" t="s">
        <v>20</v>
      </c>
      <c r="B32" s="8">
        <f>SUM(B29:B31)</f>
        <v>0</v>
      </c>
      <c r="C32" s="8">
        <f>SUM(C29:C31)</f>
        <v>0</v>
      </c>
      <c r="D32" s="8">
        <f>SUM(D29:D31)</f>
        <v>0</v>
      </c>
      <c r="E32" s="8">
        <f>SUM(E29:E31)</f>
        <v>0</v>
      </c>
      <c r="F32" s="9">
        <f t="shared" si="7"/>
        <v>0</v>
      </c>
      <c r="G32" s="9">
        <f t="shared" si="7"/>
        <v>0</v>
      </c>
      <c r="H32" s="9">
        <f>IF(D32+E32=0,0,(B32+C32)/(D32+E32))</f>
        <v>0</v>
      </c>
      <c r="I32" s="25"/>
      <c r="J32" s="6"/>
      <c r="K32" s="31"/>
      <c r="L32" s="32">
        <f t="shared" si="8"/>
        <v>0</v>
      </c>
      <c r="M32" s="32">
        <f t="shared" si="9"/>
        <v>0</v>
      </c>
    </row>
  </sheetData>
  <phoneticPr fontId="0" type="noConversion"/>
  <pageMargins left="0.59055118110236227" right="0.19685039370078741" top="0.98425196850393704" bottom="4.83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</vt:lpstr>
      <vt:lpstr>ÅRSTOT</vt:lpstr>
      <vt:lpstr>BETONG</vt:lpstr>
      <vt:lpstr>TØMRERE</vt:lpstr>
      <vt:lpstr>MALERE</vt:lpstr>
      <vt:lpstr>RØRLEGGERE</vt:lpstr>
      <vt:lpstr>TAKTEKKERE</vt:lpstr>
      <vt:lpstr>MURERE</vt:lpstr>
      <vt:lpstr>BLIKK OG VENTILASJON</vt:lpstr>
      <vt:lpstr>ISOLATØR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Fellesforbundet</dc:creator>
  <cp:lastModifiedBy>Jan Ornevik</cp:lastModifiedBy>
  <cp:lastPrinted>2017-02-23T08:05:59Z</cp:lastPrinted>
  <dcterms:created xsi:type="dcterms:W3CDTF">1999-08-02T20:22:00Z</dcterms:created>
  <dcterms:modified xsi:type="dcterms:W3CDTF">2017-02-23T08:06:25Z</dcterms:modified>
</cp:coreProperties>
</file>